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53222"/>
  <mc:AlternateContent xmlns:mc="http://schemas.openxmlformats.org/markup-compatibility/2006">
    <mc:Choice Requires="x15">
      <x15ac:absPath xmlns:x15ac="http://schemas.microsoft.com/office/spreadsheetml/2010/11/ac" url="G:\CPL\Comissão Permanente de Licitações\2020\Pregões\PE 01 - RECEPCAO E MOTORISTAS\Anexo I - Planilha de Formação de Preços\"/>
    </mc:Choice>
  </mc:AlternateContent>
  <bookViews>
    <workbookView xWindow="0" yWindow="0" windowWidth="20490" windowHeight="6855" tabRatio="970"/>
  </bookViews>
  <sheets>
    <sheet name="Proposta" sheetId="13" r:id="rId1"/>
    <sheet name="INSUMOS" sheetId="6" r:id="rId2"/>
    <sheet name="Aux. Esc. - DIURNO" sheetId="14" r:id="rId3"/>
    <sheet name="Aux. Esc. NOTURNO" sheetId="1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3" l="1"/>
  <c r="F36" i="6"/>
  <c r="G35" i="6"/>
  <c r="G34" i="6"/>
  <c r="G36" i="6" s="1"/>
  <c r="F35" i="6"/>
  <c r="F34" i="6"/>
  <c r="G31" i="6"/>
  <c r="G30" i="6"/>
  <c r="D32" i="15"/>
  <c r="D33" i="15"/>
  <c r="C87" i="15" l="1"/>
  <c r="C85" i="15"/>
  <c r="B85" i="15"/>
  <c r="C83" i="15"/>
  <c r="C79" i="15"/>
  <c r="D75" i="15"/>
  <c r="C92" i="15" s="1"/>
  <c r="C83" i="14"/>
  <c r="C81" i="14"/>
  <c r="B81" i="14"/>
  <c r="C79" i="14"/>
  <c r="C75" i="14"/>
  <c r="D71" i="14"/>
  <c r="C88" i="14" s="1"/>
  <c r="D106" i="15" l="1"/>
  <c r="D102" i="14"/>
  <c r="F24" i="6"/>
  <c r="E21" i="6"/>
  <c r="G21" i="6" s="1"/>
  <c r="D35" i="15"/>
  <c r="D60" i="15"/>
  <c r="D61" i="15" s="1"/>
  <c r="D30" i="15"/>
  <c r="D34" i="15"/>
  <c r="D36" i="15"/>
  <c r="C123" i="15"/>
  <c r="C124" i="15" s="1"/>
  <c r="D65" i="15"/>
  <c r="C56" i="15"/>
  <c r="C70" i="15" s="1"/>
  <c r="C43" i="15"/>
  <c r="C44" i="15" s="1"/>
  <c r="D27" i="15"/>
  <c r="C11" i="15"/>
  <c r="C17" i="15" s="1"/>
  <c r="D32" i="14"/>
  <c r="D30" i="14"/>
  <c r="G7" i="13"/>
  <c r="E7" i="13"/>
  <c r="C11" i="14"/>
  <c r="G24" i="6" l="1"/>
  <c r="D105" i="15" s="1"/>
  <c r="D31" i="14"/>
  <c r="D29" i="15"/>
  <c r="D28" i="15"/>
  <c r="D59" i="15"/>
  <c r="D31" i="15"/>
  <c r="C99" i="15"/>
  <c r="C45" i="15"/>
  <c r="C69" i="15" s="1"/>
  <c r="D63" i="15"/>
  <c r="D38" i="15" l="1"/>
  <c r="E7" i="6"/>
  <c r="G7" i="6" s="1"/>
  <c r="D62" i="15" l="1"/>
  <c r="D43" i="15"/>
  <c r="D64" i="15"/>
  <c r="D128" i="15"/>
  <c r="D44" i="15"/>
  <c r="E8" i="6"/>
  <c r="G8" i="6" s="1"/>
  <c r="E9" i="6"/>
  <c r="G9" i="6" s="1"/>
  <c r="E10" i="6"/>
  <c r="G10" i="6" s="1"/>
  <c r="E11" i="6"/>
  <c r="G11" i="6" s="1"/>
  <c r="E12" i="6"/>
  <c r="G12" i="6" s="1"/>
  <c r="E13" i="6"/>
  <c r="G13" i="6" s="1"/>
  <c r="E14" i="6"/>
  <c r="G14" i="6" s="1"/>
  <c r="E6" i="6"/>
  <c r="G6" i="6" s="1"/>
  <c r="D66" i="15" l="1"/>
  <c r="D71" i="15" s="1"/>
  <c r="G15" i="6"/>
  <c r="D104" i="15" s="1"/>
  <c r="D108" i="15" s="1"/>
  <c r="D132" i="15" s="1"/>
  <c r="D45" i="15"/>
  <c r="D101" i="14"/>
  <c r="C95" i="14"/>
  <c r="C71" i="15" l="1"/>
  <c r="D50" i="15"/>
  <c r="D82" i="15"/>
  <c r="D83" i="15" s="1"/>
  <c r="D84" i="15" s="1"/>
  <c r="D78" i="15"/>
  <c r="D79" i="15" s="1"/>
  <c r="D80" i="15" s="1"/>
  <c r="D55" i="15"/>
  <c r="D51" i="15"/>
  <c r="D53" i="15"/>
  <c r="D49" i="15"/>
  <c r="D48" i="15"/>
  <c r="D52" i="15"/>
  <c r="D69" i="15"/>
  <c r="D54" i="15"/>
  <c r="D100" i="14"/>
  <c r="D77" i="15" l="1"/>
  <c r="D81" i="15" s="1"/>
  <c r="D56" i="15"/>
  <c r="C119" i="14"/>
  <c r="C120" i="14" s="1"/>
  <c r="D104" i="14"/>
  <c r="D128" i="14" s="1"/>
  <c r="D61" i="14"/>
  <c r="D56" i="14"/>
  <c r="D57" i="14" s="1"/>
  <c r="C52" i="14"/>
  <c r="C39" i="14"/>
  <c r="C40" i="14" s="1"/>
  <c r="D27" i="14"/>
  <c r="D59" i="14" s="1"/>
  <c r="C17" i="14"/>
  <c r="D70" i="15" l="1"/>
  <c r="D72" i="15" s="1"/>
  <c r="D129" i="15" s="1"/>
  <c r="D85" i="15"/>
  <c r="D86" i="15" s="1"/>
  <c r="D87" i="15" s="1"/>
  <c r="D130" i="15" s="1"/>
  <c r="D55" i="14"/>
  <c r="D28" i="14"/>
  <c r="D29" i="14"/>
  <c r="C41" i="14"/>
  <c r="C65" i="14" s="1"/>
  <c r="C66" i="14"/>
  <c r="D96" i="15" l="1"/>
  <c r="D98" i="15"/>
  <c r="D92" i="15"/>
  <c r="D93" i="15"/>
  <c r="D95" i="15"/>
  <c r="D94" i="15"/>
  <c r="D97" i="15"/>
  <c r="D34" i="14"/>
  <c r="D60" i="14" l="1"/>
  <c r="D99" i="15"/>
  <c r="D131" i="15" s="1"/>
  <c r="D133" i="15" s="1"/>
  <c r="D39" i="14"/>
  <c r="D58" i="14"/>
  <c r="D40" i="14"/>
  <c r="D124" i="14"/>
  <c r="D62" i="14" l="1"/>
  <c r="D67" i="14" s="1"/>
  <c r="D110" i="15"/>
  <c r="D115" i="15" s="1"/>
  <c r="D116" i="15" s="1"/>
  <c r="D117" i="15" s="1"/>
  <c r="D118" i="15" s="1"/>
  <c r="D120" i="15" s="1"/>
  <c r="D41" i="14"/>
  <c r="D78" i="14" l="1"/>
  <c r="D79" i="14" s="1"/>
  <c r="D80" i="14" s="1"/>
  <c r="D74" i="14"/>
  <c r="D75" i="14" s="1"/>
  <c r="D76" i="14" s="1"/>
  <c r="C67" i="14"/>
  <c r="D121" i="15"/>
  <c r="D122" i="15"/>
  <c r="D49" i="14"/>
  <c r="D45" i="14"/>
  <c r="D50" i="14"/>
  <c r="D47" i="14"/>
  <c r="D44" i="14"/>
  <c r="D51" i="14"/>
  <c r="D65" i="14"/>
  <c r="D73" i="14" s="1"/>
  <c r="D48" i="14"/>
  <c r="D46" i="14"/>
  <c r="D77" i="14" l="1"/>
  <c r="D123" i="15"/>
  <c r="D124" i="15" s="1"/>
  <c r="D134" i="15" s="1"/>
  <c r="D135" i="15" s="1"/>
  <c r="D138" i="15" s="1"/>
  <c r="D140" i="15" s="1"/>
  <c r="D52" i="14"/>
  <c r="D81" i="14" l="1"/>
  <c r="D82" i="14" s="1"/>
  <c r="D83" i="14" s="1"/>
  <c r="D126" i="14" s="1"/>
  <c r="D66" i="14"/>
  <c r="D68" i="14" s="1"/>
  <c r="D125" i="14" s="1"/>
  <c r="D141" i="15"/>
  <c r="D6" i="13"/>
  <c r="D93" i="14" l="1"/>
  <c r="D88" i="14"/>
  <c r="D94" i="14"/>
  <c r="D90" i="14"/>
  <c r="D89" i="14"/>
  <c r="D91" i="14"/>
  <c r="D92" i="14"/>
  <c r="D95" i="14" l="1"/>
  <c r="D106" i="14" s="1"/>
  <c r="D111" i="14" s="1"/>
  <c r="D127" i="14"/>
  <c r="D129" i="14" s="1"/>
  <c r="D112" i="14" l="1"/>
  <c r="D113" i="14" s="1"/>
  <c r="D114" i="14" s="1"/>
  <c r="D116" i="14" s="1"/>
  <c r="D118" i="14" l="1"/>
  <c r="D117" i="14"/>
  <c r="D119" i="14" l="1"/>
  <c r="D120" i="14" s="1"/>
  <c r="D130" i="14" s="1"/>
  <c r="D131" i="14" s="1"/>
  <c r="D134" i="14" s="1"/>
  <c r="D136" i="14" l="1"/>
  <c r="H6" i="13" l="1"/>
  <c r="I6" i="13" s="1"/>
  <c r="D5" i="13"/>
  <c r="D137" i="14"/>
  <c r="F5" i="13" l="1"/>
  <c r="H5" i="13"/>
  <c r="F7" i="13" l="1"/>
  <c r="I5" i="13"/>
  <c r="I7" i="13" s="1"/>
  <c r="H7" i="13"/>
</calcChain>
</file>

<file path=xl/comments1.xml><?xml version="1.0" encoding="utf-8"?>
<comments xmlns="http://schemas.openxmlformats.org/spreadsheetml/2006/main">
  <authors>
    <author>LUAN LUCIO DA SILVA</author>
  </authors>
  <commentList>
    <comment ref="F21" authorId="0" shapeId="0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F24" authorId="0" shapeId="0">
      <text>
        <r>
          <rPr>
            <sz val="9"/>
            <color indexed="81"/>
            <rFont val="Segoe UI"/>
            <family val="2"/>
          </rPr>
          <t xml:space="preserve">Qtd posto x Numero func. (posto) x meses x ano
</t>
        </r>
      </text>
    </comment>
    <comment ref="F36" authorId="0" shapeId="0">
      <text>
        <r>
          <rPr>
            <b/>
            <sz val="9"/>
            <color indexed="81"/>
            <rFont val="Segoe UI"/>
            <charset val="1"/>
          </rPr>
          <t>Média Ponderada da quantidade de funcionários (número de vezes que o valor será multiplicado)</t>
        </r>
      </text>
    </comment>
  </commentList>
</comments>
</file>

<file path=xl/comments2.xml><?xml version="1.0" encoding="utf-8"?>
<comments xmlns="http://schemas.openxmlformats.org/spreadsheetml/2006/main">
  <authors>
    <author>LUAN LUCIO DA SILVA</author>
  </authors>
  <commentList>
    <comment ref="C40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46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A71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1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1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4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4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77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78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1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LUAN LUCIO DA SILVA</author>
  </authors>
  <commentList>
    <comment ref="C44" authorId="0" shapeId="0">
      <text>
        <r>
          <rPr>
            <b/>
            <sz val="9"/>
            <color indexed="81"/>
            <rFont val="Segoe UI"/>
            <family val="2"/>
          </rPr>
          <t xml:space="preserve">1 salário x (1/11) = 0,09090 ≅ 9,075% IN 05/2017 SEGES
+
Adicional de Férias (1/3) = 3,025%
Não considerar 12,10% visto não haver provisionamento e apenas repasse do custo. Ou seja, não há razão para provisionar 1/11 do salário.
Indo além, dividir o salário por 11 ou por 12 e pagar/provisionar o </t>
        </r>
      </text>
    </comment>
    <comment ref="C50" authorId="0" shapeId="0">
      <text>
        <r>
          <rPr>
            <b/>
            <sz val="9"/>
            <color indexed="81"/>
            <rFont val="Segoe UI"/>
            <family val="2"/>
          </rPr>
          <t>As alíquotas do GIIL-RAT ou Seguro de Acidente de Trabalho - SAT são de 1%, 2% ou 3%. Esta alíquota é estabelecida de acordo com as atividades preponderantes e
correspondentes ao grau de risco.</t>
        </r>
        <r>
          <rPr>
            <sz val="9"/>
            <color indexed="81"/>
            <rFont val="Segoe UI"/>
            <family val="2"/>
          </rPr>
          <t xml:space="preserve">
X
O Fator Acidentário de Prevenção - FAP é um índice aplicado sobre a contribuição GIILRAT, que tanto pode resultar em aumento como diminuição da respectiva contribuição.
O FAP é um multiplicador aplicado sobre a alíquota do seguro no qual varia num
intervalo de 0,05% a 2,00%.</t>
        </r>
      </text>
    </comment>
    <comment ref="A75" authorId="0" shapeId="0">
      <text>
        <r>
          <rPr>
            <b/>
            <sz val="9"/>
            <color indexed="81"/>
            <rFont val="Segoe UI"/>
            <family val="2"/>
          </rPr>
          <t>Aqueles entendidos que  geram custos à Contratada (não contemplados demissão a pedido, demissão por justa causa, etc)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75" authorId="0" shapeId="0">
      <text>
        <r>
          <rPr>
            <b/>
            <sz val="9"/>
            <color indexed="81"/>
            <rFont val="Segoe UI"/>
            <family val="2"/>
          </rPr>
          <t>Percentual de acordo com o Estudo Técnico Prelimiar - 28,4% espontâneos (sem custos)
OU
Histórico da Contratada</t>
        </r>
      </text>
    </comment>
    <comment ref="D75" authorId="0" shapeId="0">
      <text>
        <r>
          <rPr>
            <b/>
            <sz val="9"/>
            <color indexed="81"/>
            <rFont val="Segoe UI"/>
            <family val="2"/>
          </rPr>
          <t>Percentual de 1 mês (máximo 60 meses - possíveis prorrogação)</t>
        </r>
      </text>
    </comment>
    <comment ref="D77" authorId="0" shapeId="0">
      <text>
        <r>
          <rPr>
            <b/>
            <sz val="9"/>
            <color indexed="81"/>
            <rFont val="Segoe UI"/>
            <family val="2"/>
          </rPr>
          <t>Aviso Prévio Indenizado remunera um mês a mais de trabalho com direito a todos os proporcionais (módulo 1 + módulo 2)</t>
        </r>
      </text>
    </comment>
    <comment ref="C78" authorId="0" shapeId="0">
      <text>
        <r>
          <rPr>
            <b/>
            <sz val="9"/>
            <color indexed="81"/>
            <rFont val="Segoe UI"/>
            <family val="2"/>
          </rPr>
          <t xml:space="preserve">60 meses de contrato (máximo)
1 mês indenizado
</t>
        </r>
      </text>
    </comment>
    <comment ref="D78" authorId="0" shapeId="0">
      <text>
        <r>
          <rPr>
            <b/>
            <sz val="9"/>
            <color indexed="81"/>
            <rFont val="Segoe UI"/>
            <family val="2"/>
          </rPr>
          <t xml:space="preserve">61 meses, considerando 1 indenizado
</t>
        </r>
        <r>
          <rPr>
            <sz val="9"/>
            <color indexed="81"/>
            <rFont val="Segoe UI"/>
            <family val="2"/>
          </rPr>
          <t xml:space="preserve">
+
Férias e 1/3 proporcionais ao mês indenizado</t>
        </r>
      </text>
    </comment>
    <comment ref="C81" authorId="0" shapeId="0">
      <text>
        <r>
          <rPr>
            <b/>
            <sz val="9"/>
            <color indexed="81"/>
            <rFont val="Segoe UI"/>
            <family val="2"/>
          </rPr>
          <t>Utilizar 10% do Estudo Técnico de desligamentos por API
OU
Histórico da Contratada</t>
        </r>
      </text>
    </comment>
    <comment ref="D82" authorId="0" shapeId="0">
      <text>
        <r>
          <rPr>
            <b/>
            <sz val="9"/>
            <color indexed="81"/>
            <rFont val="Segoe UI"/>
            <family val="2"/>
          </rPr>
          <t>Tendo em vista que o pagamento da Multa do FGTS e da Contribuição Social incide sobre o montante dos depósitos realizados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Índice: 
[ (1 remuneração integral / 30 dias) x 7 dias]
= 23,33%</t>
        </r>
      </text>
    </comment>
    <comment ref="C92" authorId="0" shapeId="0">
      <text>
        <r>
          <rPr>
            <b/>
            <sz val="9"/>
            <color indexed="81"/>
            <rFont val="Segoe UI"/>
            <family val="2"/>
          </rPr>
          <t>1/12 (mes/ano) = 0,0833 = 8,33%
8,33% + (1/3) = 11,11%
Cálculo da média:
(5,55 x 24) + (11,11 x 24) + (11,11 x 12) ÷ 60 = 8,886
Motivação:
Contrato (24 meses) - 5,55%: visto que nos primeiros 12 meses (ano 1) não haverá férias, somente no ano 2. Assim é utilizado metade do percentual, para corresponder a metade dos meses.
1º Repac. (24 meses) - 11,11%: Correspondente aos anos 3 e 4.
2º Repac. (12 meses)- 11,11%: Repactuação apenas de 12 meses, devendo constar metade dos valores.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<sst xmlns="http://schemas.openxmlformats.org/spreadsheetml/2006/main" count="496" uniqueCount="196">
  <si>
    <t>Total Mensal</t>
  </si>
  <si>
    <t>Quantidade</t>
  </si>
  <si>
    <t>Valor Unitário</t>
  </si>
  <si>
    <t>RESUMO GERAL</t>
  </si>
  <si>
    <t>Subtotal</t>
  </si>
  <si>
    <t>Data base da categoria (dia/mês/ano)</t>
  </si>
  <si>
    <t>Salário Normativo da Categoria Profissional</t>
  </si>
  <si>
    <t>Município/UF</t>
  </si>
  <si>
    <t>Data de apresentação da proposta (dia/mês/ano)</t>
  </si>
  <si>
    <t>PLANILHA DE CUSTOS E FORMAÇÃO DE PREÇOS</t>
  </si>
  <si>
    <t>Discriminação dos Materiais</t>
  </si>
  <si>
    <t>Valor Total</t>
  </si>
  <si>
    <t>Durabilidade (meses)</t>
  </si>
  <si>
    <t>Depreciação mensal</t>
  </si>
  <si>
    <t>Sapato social</t>
  </si>
  <si>
    <t>Total</t>
  </si>
  <si>
    <t>Crachá</t>
  </si>
  <si>
    <t>08490.009245/2019-58</t>
  </si>
  <si>
    <t>Valor unitário do Posto de Auxiliar Administrativo</t>
  </si>
  <si>
    <t xml:space="preserve">Nº Processo </t>
  </si>
  <si>
    <t xml:space="preserve">Licitação </t>
  </si>
  <si>
    <t>Discriminação dos Serviços (dados referentes à contratação)</t>
  </si>
  <si>
    <t xml:space="preserve">A </t>
  </si>
  <si>
    <t>B</t>
  </si>
  <si>
    <t>Florianópolis - Santa Catarina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</si>
  <si>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</si>
  <si>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</si>
  <si>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</si>
  <si>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</si>
  <si>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</si>
  <si>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</si>
  <si>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</si>
  <si>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HOMEM-MÊS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</si>
  <si>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</si>
  <si>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</si>
  <si>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</si>
  <si>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</si>
  <si>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</si>
  <si>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</si>
  <si>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</si>
  <si>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Classificação Brasileira de Ocupações</t>
  </si>
  <si>
    <t>4101-05</t>
  </si>
  <si>
    <t>Dados complementares para composição dos custos referente à mão-de-obra</t>
  </si>
  <si>
    <t>Categoria profissional (vinculada à execução contratual)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</si>
  <si>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</si>
  <si>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</si>
  <si>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</si>
  <si>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</si>
  <si>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</si>
  <si>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</si>
  <si>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Adicional de insalubridade</t>
  </si>
  <si>
    <t>Outros (especificar)</t>
  </si>
  <si>
    <t>Total da Remuneração</t>
  </si>
  <si>
    <t>MÓDULO 2: ENCARGOS E BENEFÍCIOS ANUAIS, MENSAIS E DIÁRIOS</t>
  </si>
  <si>
    <t xml:space="preserve">2.1 </t>
  </si>
  <si>
    <t>13º (décimo terceiro) Salário, Férias e Adicional de Férias</t>
  </si>
  <si>
    <t>%</t>
  </si>
  <si>
    <t>13º (décimo terceiro) Salário</t>
  </si>
  <si>
    <t>Férias e Adicional de Férias</t>
  </si>
  <si>
    <t>2.2</t>
  </si>
  <si>
    <t>GPS, FGTS e outras contribuições</t>
  </si>
  <si>
    <t>INSS</t>
  </si>
  <si>
    <t>Salário Educação</t>
  </si>
  <si>
    <t>SESC ou SESI</t>
  </si>
  <si>
    <t>SENAI - SENAC</t>
  </si>
  <si>
    <t>SEBRAE</t>
  </si>
  <si>
    <t>INCRA</t>
  </si>
  <si>
    <t>H</t>
  </si>
  <si>
    <t>FGTS</t>
  </si>
  <si>
    <t xml:space="preserve">2.3 </t>
  </si>
  <si>
    <t>Benefícios Mensais e Diários</t>
  </si>
  <si>
    <t>Valor unitário</t>
  </si>
  <si>
    <t>Transporte</t>
  </si>
  <si>
    <t>Auxílio-Refeição/Alimentação</t>
  </si>
  <si>
    <t>Assistência Médica e Familiar</t>
  </si>
  <si>
    <t>Total de Encargos e Benefícios</t>
  </si>
  <si>
    <t>Quadro-Resumo - Módulo 2 - Encargos e Benefícios Anuais, Mensais e Diários</t>
  </si>
  <si>
    <t>2.1</t>
  </si>
  <si>
    <t>2.3</t>
  </si>
  <si>
    <t>Provisão para Rescisão</t>
  </si>
  <si>
    <t>Incidência do FGTS sobre o Aviso Prévio Indenizado</t>
  </si>
  <si>
    <t>Incidência dos encargos do submódulo 2.2 sobre o Aviso Prévio Trabalhado</t>
  </si>
  <si>
    <t>Total de Provisão para Rescisão</t>
  </si>
  <si>
    <t>MÓDULO 4 - CUSTO DE REPOSIÇÃO DO PROFISSIONAL AUSENTE</t>
  </si>
  <si>
    <t>4.1</t>
  </si>
  <si>
    <t>Ausências Legais</t>
  </si>
  <si>
    <t>Substituto - Cobertura Férias</t>
  </si>
  <si>
    <t>Substituto - Cobertura Licença-Paternidade</t>
  </si>
  <si>
    <t>Substituto - Cobertura Afastamento Maternidade</t>
  </si>
  <si>
    <t>MÓDULO 5 - INSUMOS DIVERSOS</t>
  </si>
  <si>
    <t>Insumos Diversos</t>
  </si>
  <si>
    <t>Total de Insumos Diversos</t>
  </si>
  <si>
    <t>TOTAL PARCIAL: MÓDULO 1 + 2 + 3 + 4+ 5</t>
  </si>
  <si>
    <t>MÓDULO 6 - CUSTOS 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</si>
  <si>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</si>
  <si>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</si>
  <si>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</si>
  <si>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</si>
  <si>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</si>
  <si>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</si>
  <si>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</si>
  <si>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</si>
  <si>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de Custos Indiretos, Tributos e Lucro</t>
  </si>
  <si>
    <t>QUADRO-RESUMO DO CUSTO MENSAL POR EMPREGADO</t>
  </si>
  <si>
    <t xml:space="preserve">Mão de obra vinculada à execução contratual 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</si>
  <si>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</si>
  <si>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</si>
  <si>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</si>
  <si>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</si>
  <si>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</si>
  <si>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</si>
  <si>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 xml:space="preserve">F </t>
  </si>
  <si>
    <t>Módulo 6 – Custos Indiretos, Tributos e Lucro</t>
  </si>
  <si>
    <t>Valor Total Mensal por Empregado</t>
  </si>
  <si>
    <t>xx/2020-200370</t>
  </si>
  <si>
    <t>xx/xx/xxxx</t>
  </si>
  <si>
    <t>Auxiliar de Escritório (44 horas semanais)</t>
  </si>
  <si>
    <t xml:space="preserve"> 4110-05</t>
  </si>
  <si>
    <t>B1</t>
  </si>
  <si>
    <t>Desconto empregado</t>
  </si>
  <si>
    <t>CAP</t>
  </si>
  <si>
    <t>CAS</t>
  </si>
  <si>
    <t>Materiais/Ferramentas - Ponto Biométrico</t>
  </si>
  <si>
    <t xml:space="preserve">ANEXO IV  </t>
  </si>
  <si>
    <t>Quadro-resumo – VALOR MENSAL DOS SERVIÇOS</t>
  </si>
  <si>
    <t>Tipo de Serviço (A)</t>
  </si>
  <si>
    <t>Média proposta por posto               (D) = (B x C)</t>
  </si>
  <si>
    <t>VALOR MENSAL DOS POSTOS</t>
  </si>
  <si>
    <t>MÓDULO 4:   ENCARGOS SOCIAIS E TRABALHISTAS</t>
  </si>
  <si>
    <t>TOTAL</t>
  </si>
  <si>
    <t>Total para 24 meses</t>
  </si>
  <si>
    <t>A1</t>
  </si>
  <si>
    <t>A2</t>
  </si>
  <si>
    <t>A3</t>
  </si>
  <si>
    <t>B2</t>
  </si>
  <si>
    <t>B3</t>
  </si>
  <si>
    <t>Montante dos depósitos realizado nos meses de serviços prestados</t>
  </si>
  <si>
    <t>Substituto - Cobertura Ausências Legais</t>
  </si>
  <si>
    <t>Substituto - Cobertura ausência por doenças</t>
  </si>
  <si>
    <t>Substituto - Cobertura Acidente de trabalho</t>
  </si>
  <si>
    <t>B4</t>
  </si>
  <si>
    <t>Desligamentos com custos</t>
  </si>
  <si>
    <t>Meias sociais</t>
  </si>
  <si>
    <t>Cinto</t>
  </si>
  <si>
    <t>Valor Un.</t>
  </si>
  <si>
    <t>MÓDULO 5  - COMPOSIÇÃO VALOR MENSAL</t>
  </si>
  <si>
    <t>A - UNIFORMES</t>
  </si>
  <si>
    <t>B - PONTO BIOMÉTRICO</t>
  </si>
  <si>
    <t>Ponto biométrico com impressora</t>
  </si>
  <si>
    <t>Camisa - longa</t>
  </si>
  <si>
    <t>camiseta - curta</t>
  </si>
  <si>
    <t xml:space="preserve">Calça </t>
  </si>
  <si>
    <t>Nº de funcionários (uso do equip.) por localidade</t>
  </si>
  <si>
    <t>SR</t>
  </si>
  <si>
    <t>Local</t>
  </si>
  <si>
    <t>Nº func.</t>
  </si>
  <si>
    <t>Deprec. / func.</t>
  </si>
  <si>
    <t>Uniformes</t>
  </si>
  <si>
    <t>Jaqueta (inverno)</t>
  </si>
  <si>
    <t>Suéter ou Blazer</t>
  </si>
  <si>
    <t>Nº de Funcionários por posto</t>
  </si>
  <si>
    <t>-</t>
  </si>
  <si>
    <t>TOTAL ANUAL</t>
  </si>
  <si>
    <t xml:space="preserve">Qtde de postos - Período de 01/04 a 10/12 </t>
  </si>
  <si>
    <t>Qtde de postos - Período de 11/12 a 30/03</t>
  </si>
  <si>
    <t>Intervalor Intrajornada</t>
  </si>
  <si>
    <t>Adicional Intrajornada DSR</t>
  </si>
  <si>
    <t>Súmula 444 ( 12 horas salário base)</t>
  </si>
  <si>
    <t>SAT - Seg. acid. de trabalho (Cálculo=RATxFAP)</t>
  </si>
  <si>
    <t>ADICIONAL NOTURNO</t>
  </si>
  <si>
    <t>PRORR. JORN. NOTURNA</t>
  </si>
  <si>
    <t>REFLEXO AD. NOTURNO SDR</t>
  </si>
  <si>
    <t>I</t>
  </si>
  <si>
    <t>J</t>
  </si>
  <si>
    <t>K</t>
  </si>
  <si>
    <t>HORA NOTURNA REDUZIDA</t>
  </si>
  <si>
    <t>Auxiliar de Escritório NOTURNO</t>
  </si>
  <si>
    <t>Auxiliar de Escritório DIURNO</t>
  </si>
  <si>
    <t>C - LTCAT, PPRA e PCMSO</t>
  </si>
  <si>
    <t>Discriminação do Serviçpo</t>
  </si>
  <si>
    <t>Valor Anual</t>
  </si>
  <si>
    <t>(meses)</t>
  </si>
  <si>
    <t>Amortização mensal</t>
  </si>
  <si>
    <t>Nº de funcionários por localidade</t>
  </si>
  <si>
    <t>LTCAT, PCMSO e PPRA</t>
  </si>
  <si>
    <r>
      <t xml:space="preserve">MÓDULO 3 - </t>
    </r>
    <r>
      <rPr>
        <b/>
        <sz val="11"/>
        <color rgb="FFFF0000"/>
        <rFont val="Franklin Gothic Book"/>
        <family val="2"/>
      </rPr>
      <t>CUSTOS COM</t>
    </r>
    <r>
      <rPr>
        <b/>
        <sz val="11"/>
        <color rgb="FF000000"/>
        <rFont val="Franklin Gothic Book"/>
        <family val="2"/>
      </rPr>
      <t xml:space="preserve"> RESCISÃO</t>
    </r>
  </si>
  <si>
    <t>Remuneração de um mês de serviço indenizado</t>
  </si>
  <si>
    <r>
      <t>Multa do FGTS</t>
    </r>
    <r>
      <rPr>
        <strike/>
        <sz val="11"/>
        <color rgb="FFFF0000"/>
        <rFont val="Franklin Gothic Book"/>
        <family val="2"/>
      </rPr>
      <t xml:space="preserve"> e contribuição social </t>
    </r>
    <r>
      <rPr>
        <sz val="11"/>
        <color theme="1"/>
        <rFont val="Franklin Gothic Book"/>
        <family val="2"/>
      </rPr>
      <t>sobre o Aviso Prévio Indenizado</t>
    </r>
  </si>
  <si>
    <t>A Subtotal</t>
  </si>
  <si>
    <t>Aviso Prévio Indenizado com Probabilidade</t>
  </si>
  <si>
    <r>
      <t>Multa do FGTS</t>
    </r>
    <r>
      <rPr>
        <strike/>
        <sz val="11"/>
        <color rgb="FFFF0000"/>
        <rFont val="Franklin Gothic Book"/>
        <family val="2"/>
      </rPr>
      <t xml:space="preserve"> e contribuição social</t>
    </r>
    <r>
      <rPr>
        <sz val="11"/>
        <color theme="1"/>
        <rFont val="Franklin Gothic Book"/>
        <family val="2"/>
      </rPr>
      <t xml:space="preserve"> sobre o Aviso Prévio Trabalhado</t>
    </r>
  </si>
  <si>
    <t>Aviso Prévio Trabalhado com Probabilidade</t>
  </si>
  <si>
    <r>
      <t xml:space="preserve">Valor </t>
    </r>
    <r>
      <rPr>
        <b/>
        <sz val="12"/>
        <color rgb="FFFF0000"/>
        <rFont val="Times New Roman"/>
        <family val="1"/>
      </rPr>
      <t>Mensal</t>
    </r>
    <r>
      <rPr>
        <b/>
        <sz val="12"/>
        <color theme="1"/>
        <rFont val="Times New Roman"/>
        <family val="1"/>
      </rPr>
      <t xml:space="preserve"> - Período de </t>
    </r>
    <r>
      <rPr>
        <b/>
        <sz val="12"/>
        <color rgb="FFFF0000"/>
        <rFont val="Times New Roman"/>
        <family val="1"/>
      </rPr>
      <t xml:space="preserve">01/04 a 10/12 </t>
    </r>
  </si>
  <si>
    <t>LTCAT</t>
  </si>
  <si>
    <t>PPRA e PCMSO</t>
  </si>
  <si>
    <t>GRUPO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</si>
</sst>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#,##0.00_ ;[Red]\-#,##0.00\ "/>
    <numFmt numFmtId="166" formatCode="0.0000"/>
    <numFmt numFmtId="167" formatCode="&quot;R$&quot;\ #,##0.00"/>
    <numFmt numFmtId="168" formatCode="_(* #,##0.00_);_(* \(#,##0.00\);_(* &quot;-&quot;??_);_(@_)"/>
    <numFmt numFmtId="169" formatCode="0.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Book"/>
      <family val="2"/>
    </font>
    <font>
      <sz val="11"/>
      <color rgb="FF000000"/>
      <name val="Franklin Gothic Book"/>
      <family val="2"/>
    </font>
    <font>
      <b/>
      <sz val="11"/>
      <color theme="1"/>
      <name val="Franklin Gothic Book"/>
      <family val="2"/>
    </font>
    <font>
      <sz val="11"/>
      <name val="Franklin Gothic Book"/>
      <family val="2"/>
    </font>
    <font>
      <sz val="11"/>
      <color rgb="FFFF0000"/>
      <name val="Franklin Gothic Book"/>
      <family val="2"/>
    </font>
    <font>
      <b/>
      <sz val="8"/>
      <color rgb="FF000000"/>
      <name val="Franklin Gothic Book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Franklin Gothic Book"/>
      <family val="2"/>
    </font>
    <font>
      <strike/>
      <sz val="11"/>
      <color rgb="FFFF0000"/>
      <name val="Franklin Gothic Book"/>
      <family val="2"/>
    </font>
    <font>
      <b/>
      <sz val="12"/>
      <color rgb="FFFF0000"/>
      <name val="Times New Roman"/>
      <family val="1"/>
    </font>
    <font>
      <b/>
      <sz val="9"/>
      <color indexed="81"/>
      <name val="Segoe UI"/>
      <charset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269">
    <xf numFmtId="0" fontId="0" fillId="0" borderId="0" xfId="0"/>
    <xf numFmtId="0" fontId="4" fillId="6" borderId="0" xfId="0" applyFont="1" applyFill="1"/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44" fontId="4" fillId="7" borderId="1" xfId="2" applyFont="1" applyFill="1" applyBorder="1" applyAlignment="1" applyProtection="1">
      <alignment horizontal="center"/>
      <protection locked="0"/>
    </xf>
    <xf numFmtId="0" fontId="4" fillId="7" borderId="1" xfId="0" applyFont="1" applyFill="1" applyBorder="1" applyAlignment="1" applyProtection="1">
      <alignment horizontal="center" vertical="justify"/>
      <protection locked="0"/>
    </xf>
    <xf numFmtId="14" fontId="7" fillId="7" borderId="1" xfId="0" applyNumberFormat="1" applyFont="1" applyFill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>
      <alignment horizontal="center" vertical="center"/>
    </xf>
    <xf numFmtId="44" fontId="5" fillId="0" borderId="1" xfId="2" applyFont="1" applyBorder="1" applyAlignment="1">
      <alignment horizontal="right" vertical="center"/>
    </xf>
    <xf numFmtId="9" fontId="5" fillId="0" borderId="1" xfId="0" applyNumberFormat="1" applyFont="1" applyBorder="1" applyAlignment="1">
      <alignment horizontal="center" vertical="center"/>
    </xf>
    <xf numFmtId="44" fontId="5" fillId="0" borderId="1" xfId="2" applyFont="1" applyBorder="1" applyAlignment="1">
      <alignment vertical="center"/>
    </xf>
    <xf numFmtId="0" fontId="4" fillId="7" borderId="1" xfId="0" applyFont="1" applyFill="1" applyBorder="1" applyAlignment="1" applyProtection="1">
      <alignment horizontal="left" vertical="justify"/>
      <protection locked="0"/>
    </xf>
    <xf numFmtId="9" fontId="4" fillId="7" borderId="1" xfId="3" applyFont="1" applyFill="1" applyBorder="1" applyAlignment="1" applyProtection="1">
      <alignment horizontal="center" vertical="justify"/>
      <protection locked="0"/>
    </xf>
    <xf numFmtId="44" fontId="3" fillId="5" borderId="1" xfId="2" applyFont="1" applyFill="1" applyBorder="1" applyAlignment="1">
      <alignment vertical="center"/>
    </xf>
    <xf numFmtId="8" fontId="3" fillId="5" borderId="1" xfId="0" applyNumberFormat="1" applyFont="1" applyFill="1" applyBorder="1" applyAlignment="1">
      <alignment horizontal="center" vertical="center"/>
    </xf>
    <xf numFmtId="8" fontId="3" fillId="5" borderId="1" xfId="0" applyNumberFormat="1" applyFont="1" applyFill="1" applyBorder="1" applyAlignment="1">
      <alignment horizontal="left" vertical="center"/>
    </xf>
    <xf numFmtId="8" fontId="5" fillId="0" borderId="1" xfId="0" applyNumberFormat="1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left" vertical="center"/>
    </xf>
    <xf numFmtId="10" fontId="5" fillId="2" borderId="1" xfId="3" applyNumberFormat="1" applyFont="1" applyFill="1" applyBorder="1" applyAlignment="1">
      <alignment horizontal="center" vertical="center"/>
    </xf>
    <xf numFmtId="10" fontId="3" fillId="5" borderId="1" xfId="3" applyNumberFormat="1" applyFont="1" applyFill="1" applyBorder="1" applyAlignment="1">
      <alignment horizontal="center" vertical="center"/>
    </xf>
    <xf numFmtId="44" fontId="3" fillId="5" borderId="1" xfId="2" applyFont="1" applyFill="1" applyBorder="1" applyAlignment="1">
      <alignment horizontal="right" vertical="center"/>
    </xf>
    <xf numFmtId="8" fontId="3" fillId="5" borderId="4" xfId="0" applyNumberFormat="1" applyFont="1" applyFill="1" applyBorder="1" applyAlignment="1">
      <alignment horizontal="left" vertical="center"/>
    </xf>
    <xf numFmtId="8" fontId="3" fillId="5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10" fontId="7" fillId="2" borderId="6" xfId="5" applyNumberFormat="1" applyFont="1" applyFill="1" applyBorder="1" applyAlignment="1">
      <alignment horizontal="center" vertical="center"/>
    </xf>
    <xf numFmtId="10" fontId="7" fillId="7" borderId="6" xfId="3" applyNumberFormat="1" applyFont="1" applyFill="1" applyBorder="1" applyAlignment="1" applyProtection="1">
      <alignment horizontal="center" vertical="center"/>
      <protection locked="0"/>
    </xf>
    <xf numFmtId="10" fontId="3" fillId="5" borderId="2" xfId="3" applyNumberFormat="1" applyFont="1" applyFill="1" applyBorder="1" applyAlignment="1">
      <alignment horizontal="center" vertical="center"/>
    </xf>
    <xf numFmtId="44" fontId="3" fillId="5" borderId="1" xfId="2" applyFont="1" applyFill="1" applyBorder="1" applyAlignment="1">
      <alignment horizontal="center" vertical="center"/>
    </xf>
    <xf numFmtId="44" fontId="5" fillId="2" borderId="2" xfId="2" applyFont="1" applyFill="1" applyBorder="1" applyAlignment="1">
      <alignment horizontal="center" vertical="center"/>
    </xf>
    <xf numFmtId="44" fontId="6" fillId="0" borderId="1" xfId="2" applyFont="1" applyBorder="1" applyAlignment="1">
      <alignment horizontal="right" vertical="center"/>
    </xf>
    <xf numFmtId="44" fontId="5" fillId="7" borderId="2" xfId="2" applyFont="1" applyFill="1" applyBorder="1" applyAlignment="1" applyProtection="1">
      <alignment horizontal="center" vertical="center"/>
      <protection locked="0"/>
    </xf>
    <xf numFmtId="44" fontId="3" fillId="0" borderId="1" xfId="2" applyFont="1" applyBorder="1" applyAlignment="1">
      <alignment horizontal="right" vertical="center"/>
    </xf>
    <xf numFmtId="0" fontId="4" fillId="7" borderId="1" xfId="0" applyFont="1" applyFill="1" applyBorder="1" applyAlignment="1" applyProtection="1">
      <alignment vertical="center" wrapText="1"/>
      <protection locked="0"/>
    </xf>
    <xf numFmtId="44" fontId="3" fillId="7" borderId="2" xfId="2" applyFont="1" applyFill="1" applyBorder="1" applyAlignment="1" applyProtection="1">
      <alignment horizontal="center" vertical="center"/>
      <protection locked="0"/>
    </xf>
    <xf numFmtId="10" fontId="5" fillId="0" borderId="2" xfId="3" applyNumberFormat="1" applyFont="1" applyBorder="1" applyAlignment="1">
      <alignment horizontal="center" vertical="center"/>
    </xf>
    <xf numFmtId="0" fontId="8" fillId="6" borderId="0" xfId="0" applyFont="1" applyFill="1"/>
    <xf numFmtId="44" fontId="5" fillId="2" borderId="1" xfId="2" applyFont="1" applyFill="1" applyBorder="1" applyAlignment="1">
      <alignment horizontal="right" vertical="center"/>
    </xf>
    <xf numFmtId="10" fontId="5" fillId="2" borderId="2" xfId="3" applyNumberFormat="1" applyFont="1" applyFill="1" applyBorder="1" applyAlignment="1">
      <alignment horizontal="center" vertical="center"/>
    </xf>
    <xf numFmtId="10" fontId="4" fillId="7" borderId="1" xfId="3" applyNumberFormat="1" applyFont="1" applyFill="1" applyBorder="1" applyAlignment="1" applyProtection="1">
      <alignment horizontal="center" vertical="justify"/>
      <protection locked="0"/>
    </xf>
    <xf numFmtId="44" fontId="5" fillId="7" borderId="1" xfId="2" applyFont="1" applyFill="1" applyBorder="1" applyAlignment="1" applyProtection="1">
      <alignment horizontal="right" vertical="center"/>
      <protection locked="0"/>
    </xf>
    <xf numFmtId="44" fontId="3" fillId="0" borderId="2" xfId="2" applyFont="1" applyBorder="1" applyAlignment="1">
      <alignment horizontal="right" vertical="center"/>
    </xf>
    <xf numFmtId="10" fontId="3" fillId="7" borderId="2" xfId="3" applyNumberFormat="1" applyFont="1" applyFill="1" applyBorder="1" applyAlignment="1" applyProtection="1">
      <alignment vertical="center"/>
      <protection locked="0"/>
    </xf>
    <xf numFmtId="44" fontId="3" fillId="0" borderId="1" xfId="2" applyFont="1" applyBorder="1" applyAlignment="1">
      <alignment vertical="center"/>
    </xf>
    <xf numFmtId="10" fontId="5" fillId="7" borderId="2" xfId="3" applyNumberFormat="1" applyFont="1" applyFill="1" applyBorder="1" applyAlignment="1" applyProtection="1">
      <alignment vertical="center"/>
      <protection locked="0"/>
    </xf>
    <xf numFmtId="10" fontId="5" fillId="2" borderId="2" xfId="3" applyNumberFormat="1" applyFont="1" applyFill="1" applyBorder="1" applyAlignment="1">
      <alignment vertical="center"/>
    </xf>
    <xf numFmtId="10" fontId="5" fillId="0" borderId="1" xfId="3" applyNumberFormat="1" applyFont="1" applyBorder="1" applyAlignment="1">
      <alignment vertical="center"/>
    </xf>
    <xf numFmtId="10" fontId="3" fillId="5" borderId="1" xfId="3" applyNumberFormat="1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44" fontId="3" fillId="10" borderId="8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9" fontId="5" fillId="7" borderId="2" xfId="2" applyNumberFormat="1" applyFont="1" applyFill="1" applyBorder="1" applyAlignment="1" applyProtection="1">
      <alignment horizontal="center" vertical="center"/>
      <protection locked="0"/>
    </xf>
    <xf numFmtId="164" fontId="5" fillId="7" borderId="2" xfId="2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vertical="center" wrapText="1"/>
    </xf>
    <xf numFmtId="9" fontId="5" fillId="3" borderId="2" xfId="2" applyNumberFormat="1" applyFont="1" applyFill="1" applyBorder="1" applyAlignment="1" applyProtection="1">
      <alignment horizontal="center" vertical="center"/>
      <protection locked="0"/>
    </xf>
    <xf numFmtId="44" fontId="6" fillId="3" borderId="1" xfId="2" applyFont="1" applyFill="1" applyBorder="1" applyAlignment="1">
      <alignment horizontal="right" vertical="center"/>
    </xf>
    <xf numFmtId="44" fontId="4" fillId="6" borderId="0" xfId="0" applyNumberFormat="1" applyFont="1" applyFill="1"/>
    <xf numFmtId="0" fontId="3" fillId="9" borderId="1" xfId="0" applyFont="1" applyFill="1" applyBorder="1" applyAlignment="1">
      <alignment horizontal="center" vertical="center" wrapText="1"/>
    </xf>
    <xf numFmtId="44" fontId="5" fillId="2" borderId="8" xfId="2" applyFont="1" applyFill="1" applyBorder="1" applyAlignment="1">
      <alignment horizontal="center" vertical="center" wrapText="1"/>
    </xf>
    <xf numFmtId="1" fontId="5" fillId="2" borderId="9" xfId="1" applyNumberFormat="1" applyFont="1" applyFill="1" applyBorder="1" applyAlignment="1">
      <alignment horizontal="center" vertical="center" wrapText="1"/>
    </xf>
    <xf numFmtId="44" fontId="5" fillId="0" borderId="9" xfId="0" applyNumberFormat="1" applyFont="1" applyBorder="1" applyAlignment="1">
      <alignment horizontal="center" vertical="center" wrapText="1"/>
    </xf>
    <xf numFmtId="166" fontId="4" fillId="6" borderId="0" xfId="0" applyNumberFormat="1" applyFont="1" applyFill="1"/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8" fontId="5" fillId="0" borderId="3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9" fontId="5" fillId="7" borderId="2" xfId="3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8" fontId="3" fillId="0" borderId="3" xfId="0" applyNumberFormat="1" applyFont="1" applyBorder="1" applyAlignment="1">
      <alignment horizontal="left" vertical="center"/>
    </xf>
    <xf numFmtId="8" fontId="5" fillId="0" borderId="3" xfId="0" applyNumberFormat="1" applyFont="1" applyBorder="1" applyAlignment="1">
      <alignment horizontal="center" vertical="center"/>
    </xf>
    <xf numFmtId="0" fontId="0" fillId="12" borderId="0" xfId="0" applyFill="1"/>
    <xf numFmtId="0" fontId="16" fillId="13" borderId="5" xfId="0" applyFont="1" applyFill="1" applyBorder="1" applyAlignment="1">
      <alignment horizontal="center" vertical="center" wrapText="1"/>
    </xf>
    <xf numFmtId="0" fontId="16" fillId="13" borderId="17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8" fillId="0" borderId="5" xfId="0" applyFont="1" applyBorder="1"/>
    <xf numFmtId="167" fontId="17" fillId="2" borderId="20" xfId="0" applyNumberFormat="1" applyFont="1" applyFill="1" applyBorder="1" applyAlignment="1">
      <alignment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167" fontId="17" fillId="2" borderId="5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1" fontId="16" fillId="13" borderId="17" xfId="0" applyNumberFormat="1" applyFont="1" applyFill="1" applyBorder="1" applyAlignment="1">
      <alignment horizontal="center" vertical="center" wrapText="1"/>
    </xf>
    <xf numFmtId="0" fontId="19" fillId="12" borderId="0" xfId="0" applyFont="1" applyFill="1" applyAlignment="1">
      <alignment vertical="center"/>
    </xf>
    <xf numFmtId="0" fontId="0" fillId="14" borderId="0" xfId="0" applyFill="1"/>
    <xf numFmtId="0" fontId="19" fillId="14" borderId="0" xfId="0" applyFont="1" applyFill="1" applyAlignment="1">
      <alignment vertical="center"/>
    </xf>
    <xf numFmtId="0" fontId="0" fillId="12" borderId="0" xfId="0" applyFill="1" applyProtection="1"/>
    <xf numFmtId="0" fontId="0" fillId="0" borderId="0" xfId="0" applyProtection="1"/>
    <xf numFmtId="10" fontId="5" fillId="10" borderId="2" xfId="3" applyNumberFormat="1" applyFont="1" applyFill="1" applyBorder="1" applyAlignment="1">
      <alignment horizontal="center" vertical="center"/>
    </xf>
    <xf numFmtId="10" fontId="9" fillId="11" borderId="1" xfId="0" applyNumberFormat="1" applyFont="1" applyFill="1" applyBorder="1" applyAlignment="1">
      <alignment horizontal="center" vertical="center"/>
    </xf>
    <xf numFmtId="10" fontId="3" fillId="5" borderId="1" xfId="0" applyNumberFormat="1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right" vertical="center"/>
    </xf>
    <xf numFmtId="0" fontId="0" fillId="0" borderId="24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8" fontId="0" fillId="0" borderId="8" xfId="0" applyNumberForma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8" fontId="0" fillId="0" borderId="35" xfId="0" applyNumberFormat="1" applyBorder="1" applyAlignment="1">
      <alignment vertical="center" wrapText="1"/>
    </xf>
    <xf numFmtId="8" fontId="0" fillId="0" borderId="36" xfId="0" applyNumberFormat="1" applyBorder="1" applyAlignment="1">
      <alignment vertical="center" wrapText="1"/>
    </xf>
    <xf numFmtId="8" fontId="0" fillId="11" borderId="8" xfId="0" applyNumberFormat="1" applyFill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8" fontId="0" fillId="0" borderId="24" xfId="0" applyNumberFormat="1" applyBorder="1" applyAlignment="1">
      <alignment vertical="center" wrapText="1"/>
    </xf>
    <xf numFmtId="8" fontId="0" fillId="0" borderId="31" xfId="0" applyNumberFormat="1" applyBorder="1" applyAlignment="1">
      <alignment vertical="center" wrapText="1"/>
    </xf>
    <xf numFmtId="8" fontId="0" fillId="10" borderId="5" xfId="0" applyNumberFormat="1" applyFill="1" applyBorder="1" applyAlignment="1">
      <alignment vertical="center" wrapText="1"/>
    </xf>
    <xf numFmtId="8" fontId="5" fillId="2" borderId="1" xfId="2" applyNumberFormat="1" applyFont="1" applyFill="1" applyBorder="1" applyAlignment="1">
      <alignment horizontal="right" vertical="center"/>
    </xf>
    <xf numFmtId="8" fontId="20" fillId="11" borderId="24" xfId="0" applyNumberFormat="1" applyFont="1" applyFill="1" applyBorder="1" applyAlignment="1">
      <alignment vertical="center" wrapText="1"/>
    </xf>
    <xf numFmtId="8" fontId="0" fillId="12" borderId="0" xfId="0" applyNumberFormat="1" applyFill="1" applyProtection="1"/>
    <xf numFmtId="0" fontId="0" fillId="0" borderId="40" xfId="0" applyBorder="1" applyAlignment="1">
      <alignment vertical="center" wrapText="1"/>
    </xf>
    <xf numFmtId="8" fontId="0" fillId="11" borderId="41" xfId="0" applyNumberFormat="1" applyFill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8" fontId="0" fillId="0" borderId="41" xfId="0" applyNumberForma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4" fontId="0" fillId="12" borderId="0" xfId="0" applyNumberFormat="1" applyFill="1" applyProtection="1"/>
    <xf numFmtId="44" fontId="7" fillId="2" borderId="1" xfId="2" applyNumberFormat="1" applyFont="1" applyFill="1" applyBorder="1" applyAlignment="1">
      <alignment horizontal="right" vertical="center"/>
    </xf>
    <xf numFmtId="0" fontId="0" fillId="12" borderId="0" xfId="0" applyFill="1" applyAlignment="1" applyProtection="1">
      <alignment horizontal="center" vertical="center"/>
    </xf>
    <xf numFmtId="167" fontId="17" fillId="13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167" fontId="17" fillId="16" borderId="5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1" fillId="17" borderId="42" xfId="0" applyFont="1" applyFill="1" applyBorder="1" applyAlignment="1">
      <alignment horizontal="left" vertical="center"/>
    </xf>
    <xf numFmtId="0" fontId="0" fillId="12" borderId="0" xfId="0" applyFill="1" applyAlignment="1">
      <alignment horizontal="center" vertical="center"/>
    </xf>
    <xf numFmtId="167" fontId="0" fillId="12" borderId="0" xfId="0" applyNumberFormat="1" applyFill="1" applyAlignment="1">
      <alignment horizontal="center" vertical="center"/>
    </xf>
    <xf numFmtId="0" fontId="12" fillId="17" borderId="42" xfId="0" applyFont="1" applyFill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44" fontId="8" fillId="0" borderId="1" xfId="2" applyFont="1" applyBorder="1" applyAlignment="1">
      <alignment vertical="center"/>
    </xf>
    <xf numFmtId="169" fontId="0" fillId="12" borderId="0" xfId="0" applyNumberFormat="1" applyFill="1" applyProtection="1"/>
    <xf numFmtId="0" fontId="0" fillId="0" borderId="17" xfId="0" applyBorder="1" applyAlignment="1">
      <alignment horizontal="center" vertical="center" wrapText="1"/>
    </xf>
    <xf numFmtId="8" fontId="5" fillId="0" borderId="3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4" fontId="0" fillId="10" borderId="51" xfId="2" applyNumberFormat="1" applyFont="1" applyFill="1" applyBorder="1" applyAlignment="1">
      <alignment horizontal="center" vertical="center" wrapText="1"/>
    </xf>
    <xf numFmtId="2" fontId="0" fillId="0" borderId="19" xfId="1" applyNumberFormat="1" applyFont="1" applyBorder="1" applyAlignment="1">
      <alignment horizontal="center" vertical="center" wrapText="1"/>
    </xf>
    <xf numFmtId="2" fontId="0" fillId="0" borderId="5" xfId="1" applyNumberFormat="1" applyFont="1" applyBorder="1" applyAlignment="1">
      <alignment horizontal="center" vertical="center" wrapText="1"/>
    </xf>
    <xf numFmtId="2" fontId="5" fillId="2" borderId="2" xfId="3" applyNumberFormat="1" applyFont="1" applyFill="1" applyBorder="1" applyAlignment="1" applyProtection="1">
      <alignment horizontal="center" vertical="center"/>
      <protection locked="0"/>
    </xf>
    <xf numFmtId="1" fontId="5" fillId="2" borderId="2" xfId="1" applyNumberFormat="1" applyFont="1" applyFill="1" applyBorder="1" applyAlignment="1" applyProtection="1">
      <alignment horizontal="center" vertical="center"/>
      <protection locked="0"/>
    </xf>
    <xf numFmtId="44" fontId="5" fillId="2" borderId="1" xfId="2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" fontId="5" fillId="2" borderId="2" xfId="3" applyNumberFormat="1" applyFont="1" applyFill="1" applyBorder="1" applyAlignment="1" applyProtection="1">
      <alignment horizontal="center" vertical="center"/>
      <protection locked="0"/>
    </xf>
    <xf numFmtId="167" fontId="0" fillId="12" borderId="0" xfId="0" applyNumberFormat="1" applyFill="1"/>
    <xf numFmtId="0" fontId="16" fillId="13" borderId="17" xfId="0" applyFont="1" applyFill="1" applyBorder="1" applyAlignment="1">
      <alignment horizontal="center" vertical="center" wrapText="1"/>
    </xf>
    <xf numFmtId="0" fontId="16" fillId="13" borderId="18" xfId="0" applyFont="1" applyFill="1" applyBorder="1" applyAlignment="1">
      <alignment horizontal="center" vertical="center" wrapText="1"/>
    </xf>
    <xf numFmtId="0" fontId="16" fillId="13" borderId="19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5" fillId="8" borderId="21" xfId="0" applyFont="1" applyFill="1" applyBorder="1" applyAlignment="1">
      <alignment horizontal="center" vertical="center"/>
    </xf>
    <xf numFmtId="0" fontId="15" fillId="8" borderId="22" xfId="0" applyFont="1" applyFill="1" applyBorder="1" applyAlignment="1">
      <alignment horizontal="center" vertical="center"/>
    </xf>
    <xf numFmtId="0" fontId="15" fillId="8" borderId="23" xfId="0" applyFont="1" applyFill="1" applyBorder="1" applyAlignment="1">
      <alignment horizontal="center" vertical="center"/>
    </xf>
    <xf numFmtId="0" fontId="0" fillId="12" borderId="0" xfId="0" applyFill="1" applyAlignment="1" applyProtection="1">
      <alignment horizontal="center"/>
    </xf>
    <xf numFmtId="0" fontId="15" fillId="8" borderId="17" xfId="0" applyFont="1" applyFill="1" applyBorder="1" applyAlignment="1" applyProtection="1">
      <alignment horizontal="center" vertical="center"/>
    </xf>
    <xf numFmtId="0" fontId="15" fillId="8" borderId="18" xfId="0" applyFont="1" applyFill="1" applyBorder="1" applyAlignment="1" applyProtection="1">
      <alignment horizontal="center" vertical="center"/>
    </xf>
    <xf numFmtId="0" fontId="15" fillId="8" borderId="19" xfId="0" applyFont="1" applyFill="1" applyBorder="1" applyAlignment="1" applyProtection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4" fillId="15" borderId="27" xfId="0" applyFont="1" applyFill="1" applyBorder="1" applyAlignment="1" applyProtection="1">
      <alignment horizontal="center" vertical="center"/>
    </xf>
    <xf numFmtId="0" fontId="14" fillId="15" borderId="28" xfId="0" applyFont="1" applyFill="1" applyBorder="1" applyAlignment="1" applyProtection="1">
      <alignment horizontal="center" vertical="center"/>
    </xf>
    <xf numFmtId="0" fontId="14" fillId="15" borderId="29" xfId="0" applyFont="1" applyFill="1" applyBorder="1" applyAlignment="1" applyProtection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7" borderId="3" xfId="0" applyNumberFormat="1" applyFont="1" applyFill="1" applyBorder="1" applyAlignment="1" applyProtection="1">
      <alignment horizontal="center" vertical="center"/>
      <protection locked="0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7" borderId="11" xfId="0" applyFont="1" applyFill="1" applyBorder="1" applyAlignment="1" applyProtection="1">
      <alignment horizontal="center" vertical="center" wrapText="1"/>
      <protection locked="0"/>
    </xf>
    <xf numFmtId="0" fontId="5" fillId="7" borderId="1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8" fontId="3" fillId="0" borderId="3" xfId="0" applyNumberFormat="1" applyFont="1" applyBorder="1" applyAlignment="1">
      <alignment horizontal="center" vertical="center"/>
    </xf>
    <xf numFmtId="8" fontId="3" fillId="0" borderId="6" xfId="0" applyNumberFormat="1" applyFont="1" applyBorder="1" applyAlignment="1">
      <alignment horizontal="center" vertical="center"/>
    </xf>
    <xf numFmtId="8" fontId="3" fillId="0" borderId="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8" fontId="3" fillId="0" borderId="1" xfId="0" applyNumberFormat="1" applyFont="1" applyBorder="1" applyAlignment="1">
      <alignment horizontal="center" vertical="center"/>
    </xf>
    <xf numFmtId="8" fontId="3" fillId="8" borderId="3" xfId="0" applyNumberFormat="1" applyFont="1" applyFill="1" applyBorder="1" applyAlignment="1">
      <alignment horizontal="left" vertical="center"/>
    </xf>
    <xf numFmtId="8" fontId="3" fillId="8" borderId="6" xfId="0" applyNumberFormat="1" applyFont="1" applyFill="1" applyBorder="1" applyAlignment="1">
      <alignment horizontal="left" vertical="center"/>
    </xf>
    <xf numFmtId="8" fontId="3" fillId="8" borderId="2" xfId="0" applyNumberFormat="1" applyFont="1" applyFill="1" applyBorder="1" applyAlignment="1">
      <alignment horizontal="left" vertical="center"/>
    </xf>
    <xf numFmtId="8" fontId="3" fillId="5" borderId="3" xfId="0" applyNumberFormat="1" applyFont="1" applyFill="1" applyBorder="1" applyAlignment="1">
      <alignment horizontal="left" vertical="center"/>
    </xf>
    <xf numFmtId="8" fontId="3" fillId="5" borderId="2" xfId="0" applyNumberFormat="1" applyFont="1" applyFill="1" applyBorder="1" applyAlignment="1">
      <alignment horizontal="left" vertical="center"/>
    </xf>
    <xf numFmtId="8" fontId="3" fillId="5" borderId="6" xfId="0" applyNumberFormat="1" applyFont="1" applyFill="1" applyBorder="1" applyAlignment="1">
      <alignment horizontal="left" vertical="center"/>
    </xf>
    <xf numFmtId="8" fontId="3" fillId="5" borderId="3" xfId="0" applyNumberFormat="1" applyFont="1" applyFill="1" applyBorder="1" applyAlignment="1">
      <alignment horizontal="center" vertical="center"/>
    </xf>
    <xf numFmtId="8" fontId="3" fillId="5" borderId="12" xfId="0" applyNumberFormat="1" applyFont="1" applyFill="1" applyBorder="1" applyAlignment="1">
      <alignment horizontal="center" vertical="center"/>
    </xf>
    <xf numFmtId="8" fontId="3" fillId="0" borderId="3" xfId="0" applyNumberFormat="1" applyFont="1" applyBorder="1" applyAlignment="1">
      <alignment horizontal="right" vertical="center"/>
    </xf>
    <xf numFmtId="8" fontId="3" fillId="0" borderId="2" xfId="0" applyNumberFormat="1" applyFont="1" applyBorder="1" applyAlignment="1">
      <alignment horizontal="right" vertical="center"/>
    </xf>
    <xf numFmtId="8" fontId="3" fillId="0" borderId="3" xfId="0" applyNumberFormat="1" applyFont="1" applyBorder="1" applyAlignment="1">
      <alignment horizontal="left" vertical="center"/>
    </xf>
    <xf numFmtId="8" fontId="3" fillId="0" borderId="6" xfId="0" applyNumberFormat="1" applyFont="1" applyBorder="1" applyAlignment="1">
      <alignment horizontal="left" vertical="center"/>
    </xf>
    <xf numFmtId="8" fontId="3" fillId="0" borderId="2" xfId="0" applyNumberFormat="1" applyFont="1" applyBorder="1" applyAlignment="1">
      <alignment horizontal="left" vertical="center"/>
    </xf>
    <xf numFmtId="8" fontId="3" fillId="8" borderId="1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7" borderId="3" xfId="0" applyFont="1" applyFill="1" applyBorder="1" applyAlignment="1" applyProtection="1">
      <alignment horizontal="left" vertical="justify"/>
      <protection locked="0"/>
    </xf>
    <xf numFmtId="0" fontId="4" fillId="7" borderId="2" xfId="0" applyFont="1" applyFill="1" applyBorder="1" applyAlignment="1" applyProtection="1">
      <alignment horizontal="left" vertical="justify"/>
      <protection locked="0"/>
    </xf>
    <xf numFmtId="8" fontId="3" fillId="0" borderId="1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8" fontId="3" fillId="0" borderId="14" xfId="0" applyNumberFormat="1" applyFont="1" applyBorder="1" applyAlignment="1">
      <alignment horizontal="left" vertical="center"/>
    </xf>
    <xf numFmtId="8" fontId="3" fillId="0" borderId="7" xfId="0" applyNumberFormat="1" applyFont="1" applyBorder="1" applyAlignment="1">
      <alignment horizontal="left" vertical="center"/>
    </xf>
    <xf numFmtId="8" fontId="3" fillId="0" borderId="13" xfId="0" applyNumberFormat="1" applyFont="1" applyBorder="1" applyAlignment="1">
      <alignment horizontal="left" vertical="center"/>
    </xf>
    <xf numFmtId="8" fontId="5" fillId="0" borderId="3" xfId="0" applyNumberFormat="1" applyFont="1" applyBorder="1" applyAlignment="1">
      <alignment horizontal="center" vertical="center"/>
    </xf>
    <xf numFmtId="8" fontId="5" fillId="0" borderId="6" xfId="0" applyNumberFormat="1" applyFont="1" applyBorder="1" applyAlignment="1">
      <alignment horizontal="center" vertical="center"/>
    </xf>
    <xf numFmtId="8" fontId="5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6" xfId="0" applyFont="1" applyBorder="1"/>
    <xf numFmtId="0" fontId="6" fillId="0" borderId="2" xfId="0" applyFont="1" applyBorder="1"/>
    <xf numFmtId="0" fontId="3" fillId="9" borderId="10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0" fillId="0" borderId="47" xfId="0" applyBorder="1" applyAlignment="1" applyProtection="1">
      <alignment horizontal="center" vertical="center" wrapText="1"/>
    </xf>
    <xf numFmtId="0" fontId="0" fillId="0" borderId="48" xfId="0" applyBorder="1" applyAlignment="1" applyProtection="1">
      <alignment horizontal="center" vertical="center" wrapText="1"/>
    </xf>
    <xf numFmtId="0" fontId="0" fillId="0" borderId="49" xfId="0" applyBorder="1" applyAlignment="1" applyProtection="1">
      <alignment horizontal="center" vertical="center" wrapText="1"/>
    </xf>
    <xf numFmtId="8" fontId="0" fillId="11" borderId="50" xfId="0" applyNumberFormat="1" applyFill="1" applyBorder="1" applyAlignment="1" applyProtection="1">
      <alignment vertical="center" wrapText="1"/>
      <protection locked="0"/>
    </xf>
    <xf numFmtId="0" fontId="0" fillId="0" borderId="41" xfId="0" applyBorder="1" applyAlignment="1" applyProtection="1">
      <alignment horizontal="center" vertical="center" wrapText="1"/>
    </xf>
    <xf numFmtId="8" fontId="0" fillId="0" borderId="36" xfId="0" applyNumberFormat="1" applyBorder="1" applyAlignment="1" applyProtection="1">
      <alignment vertical="center" wrapText="1"/>
    </xf>
    <xf numFmtId="0" fontId="0" fillId="0" borderId="52" xfId="0" applyBorder="1" applyAlignment="1" applyProtection="1">
      <alignment horizontal="center" vertical="center" wrapText="1"/>
    </xf>
    <xf numFmtId="8" fontId="0" fillId="2" borderId="19" xfId="0" applyNumberFormat="1" applyFill="1" applyBorder="1" applyAlignment="1" applyProtection="1">
      <alignment horizontal="center" vertical="center" wrapText="1"/>
    </xf>
    <xf numFmtId="2" fontId="0" fillId="0" borderId="51" xfId="1" applyNumberFormat="1" applyFont="1" applyBorder="1" applyAlignment="1" applyProtection="1">
      <alignment horizontal="center" vertical="center" wrapText="1"/>
    </xf>
    <xf numFmtId="8" fontId="0" fillId="10" borderId="51" xfId="2" applyNumberFormat="1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</cellXfs>
  <cellStyles count="6">
    <cellStyle name="Moeda" xfId="2" builtinId="4"/>
    <cellStyle name="Normal" xfId="0" builtinId="0"/>
    <cellStyle name="Normal 2" xfId="4"/>
    <cellStyle name="Normal 2 2" xfId="5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00B0F0"/>
  </sheetPr>
  <dimension ref="A1:K74"/>
  <sheetViews>
    <sheetView tabSelected="1" zoomScale="80" zoomScaleNormal="80" workbookViewId="0">
      <selection activeCell="F9" sqref="F9"/>
    </sheetView>
  </sheetViews>
  <sheetFormatPr defaultColWidth="0" defaultRowHeight="15" zeroHeight="1" x14ac:dyDescent="0.25"/>
  <cols>
    <col min="1" max="1" width="4.140625" style="77" customWidth="1"/>
    <col min="2" max="2" width="4.28515625" customWidth="1"/>
    <col min="3" max="3" width="40.7109375" style="88" customWidth="1"/>
    <col min="4" max="4" width="27.42578125" style="88" customWidth="1"/>
    <col min="5" max="5" width="15.28515625" style="88" customWidth="1"/>
    <col min="6" max="6" width="22.85546875" customWidth="1"/>
    <col min="7" max="7" width="18.7109375" customWidth="1"/>
    <col min="8" max="8" width="17.140625" style="77" customWidth="1"/>
    <col min="9" max="9" width="20" customWidth="1"/>
    <col min="10" max="10" width="17.7109375" style="121" customWidth="1"/>
    <col min="11" max="16384" width="9.140625" hidden="1"/>
  </cols>
  <sheetData>
    <row r="1" spans="2:11" ht="15.75" thickBot="1" x14ac:dyDescent="0.3">
      <c r="B1" s="77"/>
      <c r="C1" s="77"/>
      <c r="D1" s="77"/>
      <c r="E1" s="77"/>
      <c r="F1" s="77"/>
      <c r="G1" s="77"/>
      <c r="I1" s="77"/>
      <c r="J1" s="77"/>
    </row>
    <row r="2" spans="2:11" ht="20.25" x14ac:dyDescent="0.25">
      <c r="B2" s="146" t="s">
        <v>123</v>
      </c>
      <c r="C2" s="147"/>
      <c r="D2" s="147"/>
      <c r="E2" s="147"/>
      <c r="F2" s="147"/>
      <c r="G2" s="147"/>
      <c r="H2" s="147"/>
      <c r="I2" s="148"/>
      <c r="J2" s="77"/>
    </row>
    <row r="3" spans="2:11" ht="19.5" thickBot="1" x14ac:dyDescent="0.3">
      <c r="B3" s="149" t="s">
        <v>124</v>
      </c>
      <c r="C3" s="150"/>
      <c r="D3" s="150"/>
      <c r="E3" s="150"/>
      <c r="F3" s="150"/>
      <c r="G3" s="150"/>
      <c r="H3" s="150"/>
      <c r="I3" s="151"/>
      <c r="J3" s="77"/>
    </row>
    <row r="4" spans="2:11" ht="48.75" customHeight="1" thickBot="1" x14ac:dyDescent="0.3">
      <c r="B4" s="78"/>
      <c r="C4" s="79" t="s">
        <v>125</v>
      </c>
      <c r="D4" s="78" t="s">
        <v>126</v>
      </c>
      <c r="E4" s="78" t="s">
        <v>163</v>
      </c>
      <c r="F4" s="78" t="s">
        <v>192</v>
      </c>
      <c r="G4" s="78" t="s">
        <v>164</v>
      </c>
      <c r="H4" s="78" t="s">
        <v>192</v>
      </c>
      <c r="I4" s="78" t="s">
        <v>162</v>
      </c>
      <c r="J4" s="77"/>
    </row>
    <row r="5" spans="2:11" ht="16.5" thickBot="1" x14ac:dyDescent="0.3">
      <c r="B5" s="80">
        <v>1</v>
      </c>
      <c r="C5" s="81" t="s">
        <v>177</v>
      </c>
      <c r="D5" s="82">
        <f>'Aux. Esc. - DIURNO'!D136</f>
        <v>10380.834706736561</v>
      </c>
      <c r="E5" s="83">
        <v>2</v>
      </c>
      <c r="F5" s="84">
        <f>E5*D5</f>
        <v>20761.669413473122</v>
      </c>
      <c r="G5" s="83">
        <v>5</v>
      </c>
      <c r="H5" s="84">
        <f>D5*G5</f>
        <v>51904.173533682806</v>
      </c>
      <c r="I5" s="84">
        <f>(8*F5)+(H5*4)</f>
        <v>373710.04944251617</v>
      </c>
      <c r="J5" s="142"/>
    </row>
    <row r="6" spans="2:11" ht="16.5" thickBot="1" x14ac:dyDescent="0.3">
      <c r="B6" s="80">
        <v>2</v>
      </c>
      <c r="C6" s="81" t="s">
        <v>176</v>
      </c>
      <c r="D6" s="82">
        <f>'Aux. Esc. NOTURNO'!D140</f>
        <v>11332.63713755587</v>
      </c>
      <c r="E6" s="83" t="s">
        <v>161</v>
      </c>
      <c r="F6" s="84" t="s">
        <v>161</v>
      </c>
      <c r="G6" s="83">
        <v>5</v>
      </c>
      <c r="H6" s="84">
        <f>G6*D6</f>
        <v>56663.185687779347</v>
      </c>
      <c r="I6" s="84">
        <f>H6*4</f>
        <v>226652.74275111739</v>
      </c>
      <c r="J6" s="142"/>
      <c r="K6" s="85"/>
    </row>
    <row r="7" spans="2:11" ht="16.5" customHeight="1" thickBot="1" x14ac:dyDescent="0.3">
      <c r="B7" s="143" t="s">
        <v>127</v>
      </c>
      <c r="C7" s="144"/>
      <c r="D7" s="145"/>
      <c r="E7" s="86">
        <f>SUM(E5:E6)</f>
        <v>2</v>
      </c>
      <c r="F7" s="120">
        <f>ROUND((+SUM(F5:F6)),2)</f>
        <v>20761.669999999998</v>
      </c>
      <c r="G7" s="86">
        <f>SUM(G5:G6)</f>
        <v>10</v>
      </c>
      <c r="H7" s="120">
        <f>ROUND((+SUM(H5:H6)),2)</f>
        <v>108567.36</v>
      </c>
      <c r="I7" s="120">
        <f>SUM(I5:I6)</f>
        <v>600362.7921936335</v>
      </c>
      <c r="J7" s="142"/>
    </row>
    <row r="8" spans="2:11" s="77" customFormat="1" ht="16.5" thickBot="1" x14ac:dyDescent="0.3">
      <c r="C8" s="87"/>
      <c r="D8" s="125"/>
      <c r="E8" s="125"/>
      <c r="F8" s="126"/>
      <c r="G8" s="125"/>
      <c r="H8" s="126"/>
      <c r="I8" s="122">
        <f>I7*2</f>
        <v>1200725.584387267</v>
      </c>
    </row>
    <row r="9" spans="2:11" s="77" customFormat="1" x14ac:dyDescent="0.25">
      <c r="I9" s="142"/>
    </row>
    <row r="10" spans="2:11" hidden="1" x14ac:dyDescent="0.25"/>
    <row r="11" spans="2:11" hidden="1" x14ac:dyDescent="0.25"/>
    <row r="12" spans="2:11" hidden="1" x14ac:dyDescent="0.25"/>
    <row r="13" spans="2:11" ht="15.75" hidden="1" x14ac:dyDescent="0.25">
      <c r="D13" s="89"/>
    </row>
    <row r="14" spans="2:11" hidden="1" x14ac:dyDescent="0.25"/>
    <row r="15" spans="2:11" hidden="1" x14ac:dyDescent="0.25"/>
    <row r="16" spans="2:11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spans="2:2" hidden="1" x14ac:dyDescent="0.25"/>
    <row r="50" spans="2:2" hidden="1" x14ac:dyDescent="0.25"/>
    <row r="51" spans="2:2" hidden="1" x14ac:dyDescent="0.25"/>
    <row r="52" spans="2:2" hidden="1" x14ac:dyDescent="0.25"/>
    <row r="53" spans="2:2" hidden="1" x14ac:dyDescent="0.25"/>
    <row r="54" spans="2:2" hidden="1" x14ac:dyDescent="0.25"/>
    <row r="55" spans="2:2" hidden="1" x14ac:dyDescent="0.25"/>
    <row r="56" spans="2:2" hidden="1" x14ac:dyDescent="0.25"/>
    <row r="57" spans="2:2" hidden="1" x14ac:dyDescent="0.25"/>
    <row r="58" spans="2:2" hidden="1" x14ac:dyDescent="0.25">
      <c r="B58" t="s">
        <v>128</v>
      </c>
    </row>
    <row r="59" spans="2:2" hidden="1" x14ac:dyDescent="0.25"/>
    <row r="60" spans="2:2" hidden="1" x14ac:dyDescent="0.25"/>
    <row r="61" spans="2:2" ht="15" hidden="1" customHeight="1" x14ac:dyDescent="0.25"/>
    <row r="62" spans="2:2" ht="15" hidden="1" customHeight="1" x14ac:dyDescent="0.25"/>
    <row r="63" spans="2:2" ht="15" hidden="1" customHeight="1" x14ac:dyDescent="0.25"/>
    <row r="64" spans="2:2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idden="1" x14ac:dyDescent="0.25"/>
    <row r="72" hidden="1" x14ac:dyDescent="0.25"/>
    <row r="73" hidden="1" x14ac:dyDescent="0.25"/>
    <row r="74" hidden="1" x14ac:dyDescent="0.25"/>
  </sheetData>
  <mergeCells count="3">
    <mergeCell ref="B7:D7"/>
    <mergeCell ref="B2:I2"/>
    <mergeCell ref="B3:I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tabColor rgb="FFFFFF00"/>
  </sheetPr>
  <dimension ref="A1:H79"/>
  <sheetViews>
    <sheetView topLeftCell="A7" zoomScale="90" zoomScaleNormal="90" workbookViewId="0">
      <selection activeCell="H34" sqref="H34"/>
    </sheetView>
  </sheetViews>
  <sheetFormatPr defaultColWidth="0" defaultRowHeight="0" customHeight="1" zeroHeight="1" x14ac:dyDescent="0.25"/>
  <cols>
    <col min="1" max="1" width="3.28515625" style="90" customWidth="1"/>
    <col min="2" max="2" width="24.5703125" style="91" customWidth="1"/>
    <col min="3" max="3" width="11.42578125" style="91" bestFit="1" customWidth="1"/>
    <col min="4" max="4" width="12.28515625" style="91" customWidth="1"/>
    <col min="5" max="5" width="15" style="91" customWidth="1"/>
    <col min="6" max="6" width="20.5703125" style="91" customWidth="1"/>
    <col min="7" max="7" width="20.85546875" style="91" customWidth="1"/>
    <col min="8" max="8" width="15.7109375" style="91" customWidth="1"/>
    <col min="9" max="16384" width="9.140625" style="91" hidden="1"/>
  </cols>
  <sheetData>
    <row r="1" spans="2:8" ht="15.75" thickBot="1" x14ac:dyDescent="0.3">
      <c r="B1" s="152"/>
      <c r="C1" s="152"/>
      <c r="D1" s="152"/>
      <c r="E1" s="152"/>
      <c r="F1" s="152"/>
      <c r="G1" s="152"/>
      <c r="H1" s="152"/>
    </row>
    <row r="2" spans="2:8" ht="21" thickBot="1" x14ac:dyDescent="0.3">
      <c r="B2" s="164" t="s">
        <v>145</v>
      </c>
      <c r="C2" s="165"/>
      <c r="D2" s="165"/>
      <c r="E2" s="165"/>
      <c r="F2" s="165"/>
      <c r="G2" s="166"/>
      <c r="H2" s="90"/>
    </row>
    <row r="3" spans="2:8" ht="19.5" thickBot="1" x14ac:dyDescent="0.3">
      <c r="B3" s="153" t="s">
        <v>146</v>
      </c>
      <c r="C3" s="154"/>
      <c r="D3" s="154"/>
      <c r="E3" s="154"/>
      <c r="F3" s="154"/>
      <c r="G3" s="155"/>
      <c r="H3" s="90"/>
    </row>
    <row r="4" spans="2:8" ht="15" customHeight="1" x14ac:dyDescent="0.25">
      <c r="B4" s="156" t="s">
        <v>10</v>
      </c>
      <c r="C4" s="158" t="s">
        <v>144</v>
      </c>
      <c r="D4" s="158" t="s">
        <v>1</v>
      </c>
      <c r="E4" s="158" t="s">
        <v>11</v>
      </c>
      <c r="F4" s="158" t="s">
        <v>12</v>
      </c>
      <c r="G4" s="160" t="s">
        <v>13</v>
      </c>
      <c r="H4" s="90"/>
    </row>
    <row r="5" spans="2:8" ht="15" x14ac:dyDescent="0.25">
      <c r="B5" s="157"/>
      <c r="C5" s="159"/>
      <c r="D5" s="159"/>
      <c r="E5" s="159"/>
      <c r="F5" s="159"/>
      <c r="G5" s="161"/>
      <c r="H5" s="90"/>
    </row>
    <row r="6" spans="2:8" ht="15" x14ac:dyDescent="0.25">
      <c r="B6" s="99" t="s">
        <v>158</v>
      </c>
      <c r="C6" s="102">
        <v>125</v>
      </c>
      <c r="D6" s="97">
        <v>1</v>
      </c>
      <c r="E6" s="98">
        <f>C6*D6</f>
        <v>125</v>
      </c>
      <c r="F6" s="97">
        <v>36</v>
      </c>
      <c r="G6" s="100">
        <f>E6/F6</f>
        <v>3.4722222222222223</v>
      </c>
      <c r="H6" s="90"/>
    </row>
    <row r="7" spans="2:8" ht="15" x14ac:dyDescent="0.25">
      <c r="B7" s="99" t="s">
        <v>159</v>
      </c>
      <c r="C7" s="102">
        <v>76.45</v>
      </c>
      <c r="D7" s="97">
        <v>1</v>
      </c>
      <c r="E7" s="98">
        <f>C7*D7</f>
        <v>76.45</v>
      </c>
      <c r="F7" s="97">
        <v>30</v>
      </c>
      <c r="G7" s="100">
        <f>E7/F7</f>
        <v>2.5483333333333333</v>
      </c>
      <c r="H7" s="90"/>
    </row>
    <row r="8" spans="2:8" ht="15" x14ac:dyDescent="0.25">
      <c r="B8" s="99" t="s">
        <v>151</v>
      </c>
      <c r="C8" s="102">
        <v>39.119999999999997</v>
      </c>
      <c r="D8" s="97">
        <v>2</v>
      </c>
      <c r="E8" s="98">
        <f t="shared" ref="E8:E14" si="0">C8*D8</f>
        <v>78.239999999999995</v>
      </c>
      <c r="F8" s="97">
        <v>12</v>
      </c>
      <c r="G8" s="100">
        <f t="shared" ref="G8:G14" si="1">E8/F8</f>
        <v>6.52</v>
      </c>
      <c r="H8" s="90"/>
    </row>
    <row r="9" spans="2:8" ht="15" x14ac:dyDescent="0.25">
      <c r="B9" s="99" t="s">
        <v>149</v>
      </c>
      <c r="C9" s="102">
        <v>30.98</v>
      </c>
      <c r="D9" s="97">
        <v>3</v>
      </c>
      <c r="E9" s="98">
        <f t="shared" si="0"/>
        <v>92.94</v>
      </c>
      <c r="F9" s="97">
        <v>20</v>
      </c>
      <c r="G9" s="100">
        <f t="shared" si="1"/>
        <v>4.6470000000000002</v>
      </c>
      <c r="H9" s="90"/>
    </row>
    <row r="10" spans="2:8" ht="16.5" customHeight="1" x14ac:dyDescent="0.25">
      <c r="B10" s="99" t="s">
        <v>150</v>
      </c>
      <c r="C10" s="102">
        <v>34.07</v>
      </c>
      <c r="D10" s="97">
        <v>3</v>
      </c>
      <c r="E10" s="98">
        <f t="shared" si="0"/>
        <v>102.21000000000001</v>
      </c>
      <c r="F10" s="97">
        <v>20</v>
      </c>
      <c r="G10" s="100">
        <f t="shared" si="1"/>
        <v>5.1105</v>
      </c>
      <c r="H10" s="90"/>
    </row>
    <row r="11" spans="2:8" ht="15" x14ac:dyDescent="0.25">
      <c r="B11" s="99" t="s">
        <v>14</v>
      </c>
      <c r="C11" s="102">
        <v>50.38</v>
      </c>
      <c r="D11" s="97">
        <v>1</v>
      </c>
      <c r="E11" s="98">
        <f t="shared" si="0"/>
        <v>50.38</v>
      </c>
      <c r="F11" s="97">
        <v>24</v>
      </c>
      <c r="G11" s="100">
        <f t="shared" si="1"/>
        <v>2.0991666666666666</v>
      </c>
      <c r="H11" s="90"/>
    </row>
    <row r="12" spans="2:8" ht="15" x14ac:dyDescent="0.25">
      <c r="B12" s="99" t="s">
        <v>142</v>
      </c>
      <c r="C12" s="102">
        <v>5.87</v>
      </c>
      <c r="D12" s="97">
        <v>3</v>
      </c>
      <c r="E12" s="98">
        <f t="shared" si="0"/>
        <v>17.61</v>
      </c>
      <c r="F12" s="97">
        <v>6</v>
      </c>
      <c r="G12" s="100">
        <f t="shared" si="1"/>
        <v>2.9350000000000001</v>
      </c>
      <c r="H12" s="90"/>
    </row>
    <row r="13" spans="2:8" ht="15" x14ac:dyDescent="0.25">
      <c r="B13" s="99" t="s">
        <v>143</v>
      </c>
      <c r="C13" s="102">
        <v>16.399999999999999</v>
      </c>
      <c r="D13" s="97">
        <v>1</v>
      </c>
      <c r="E13" s="98">
        <f t="shared" si="0"/>
        <v>16.399999999999999</v>
      </c>
      <c r="F13" s="97">
        <v>12</v>
      </c>
      <c r="G13" s="100">
        <f t="shared" si="1"/>
        <v>1.3666666666666665</v>
      </c>
      <c r="H13" s="90"/>
    </row>
    <row r="14" spans="2:8" ht="16.5" customHeight="1" thickBot="1" x14ac:dyDescent="0.3">
      <c r="B14" s="103" t="s">
        <v>16</v>
      </c>
      <c r="C14" s="108">
        <v>8.86</v>
      </c>
      <c r="D14" s="96">
        <v>1</v>
      </c>
      <c r="E14" s="104">
        <f t="shared" si="0"/>
        <v>8.86</v>
      </c>
      <c r="F14" s="96">
        <v>12</v>
      </c>
      <c r="G14" s="105">
        <f t="shared" si="1"/>
        <v>0.73833333333333329</v>
      </c>
      <c r="H14" s="119"/>
    </row>
    <row r="15" spans="2:8" ht="16.5" customHeight="1" thickBot="1" x14ac:dyDescent="0.3">
      <c r="B15" s="162" t="s">
        <v>129</v>
      </c>
      <c r="C15" s="163"/>
      <c r="D15" s="163"/>
      <c r="E15" s="163"/>
      <c r="F15" s="163"/>
      <c r="G15" s="106">
        <f>SUM(G6:G14)</f>
        <v>29.437222222222221</v>
      </c>
      <c r="H15" s="119"/>
    </row>
    <row r="16" spans="2:8" s="90" customFormat="1" ht="16.5" customHeight="1" x14ac:dyDescent="0.25">
      <c r="H16" s="119"/>
    </row>
    <row r="17" spans="2:8" s="90" customFormat="1" ht="16.5" customHeight="1" thickBot="1" x14ac:dyDescent="0.3">
      <c r="H17" s="119"/>
    </row>
    <row r="18" spans="2:8" ht="19.5" thickBot="1" x14ac:dyDescent="0.3">
      <c r="B18" s="153" t="s">
        <v>147</v>
      </c>
      <c r="C18" s="154"/>
      <c r="D18" s="154"/>
      <c r="E18" s="154"/>
      <c r="F18" s="154"/>
      <c r="G18" s="155"/>
      <c r="H18" s="119"/>
    </row>
    <row r="19" spans="2:8" ht="15" x14ac:dyDescent="0.25">
      <c r="B19" s="156" t="s">
        <v>10</v>
      </c>
      <c r="C19" s="158" t="s">
        <v>144</v>
      </c>
      <c r="D19" s="158" t="s">
        <v>1</v>
      </c>
      <c r="E19" s="158" t="s">
        <v>11</v>
      </c>
      <c r="F19" s="158" t="s">
        <v>12</v>
      </c>
      <c r="G19" s="160" t="s">
        <v>13</v>
      </c>
      <c r="H19" s="119"/>
    </row>
    <row r="20" spans="2:8" ht="15" x14ac:dyDescent="0.25">
      <c r="B20" s="157"/>
      <c r="C20" s="159"/>
      <c r="D20" s="159"/>
      <c r="E20" s="159"/>
      <c r="F20" s="159"/>
      <c r="G20" s="161"/>
      <c r="H20" s="119"/>
    </row>
    <row r="21" spans="2:8" ht="30.75" thickBot="1" x14ac:dyDescent="0.3">
      <c r="B21" s="110" t="s">
        <v>148</v>
      </c>
      <c r="C21" s="111">
        <v>1703.2</v>
      </c>
      <c r="D21" s="112">
        <v>1</v>
      </c>
      <c r="E21" s="113">
        <f>C21*D21</f>
        <v>1703.2</v>
      </c>
      <c r="F21" s="112">
        <v>120</v>
      </c>
      <c r="G21" s="101">
        <f>E21/F21</f>
        <v>14.193333333333333</v>
      </c>
      <c r="H21" s="119"/>
    </row>
    <row r="22" spans="2:8" ht="15.75" thickBot="1" x14ac:dyDescent="0.3">
      <c r="B22" s="167"/>
      <c r="C22" s="168"/>
      <c r="D22" s="168"/>
      <c r="E22" s="168"/>
      <c r="F22" s="168"/>
      <c r="G22" s="169"/>
      <c r="H22" s="119"/>
    </row>
    <row r="23" spans="2:8" ht="15.75" thickBot="1" x14ac:dyDescent="0.3">
      <c r="B23" s="170" t="s">
        <v>152</v>
      </c>
      <c r="C23" s="171"/>
      <c r="D23" s="172"/>
      <c r="E23" s="114" t="s">
        <v>154</v>
      </c>
      <c r="F23" s="116" t="s">
        <v>155</v>
      </c>
      <c r="G23" s="115" t="s">
        <v>156</v>
      </c>
      <c r="H23" s="119"/>
    </row>
    <row r="24" spans="2:8" ht="15.75" customHeight="1" thickBot="1" x14ac:dyDescent="0.3">
      <c r="B24" s="173"/>
      <c r="C24" s="174"/>
      <c r="D24" s="175"/>
      <c r="E24" s="131" t="s">
        <v>153</v>
      </c>
      <c r="F24" s="136">
        <f>(((Proposta!E7*2*8*5)+(Proposta!G7*2*4*5)))/60</f>
        <v>9.3333333333333339</v>
      </c>
      <c r="G24" s="134">
        <f>G21/F24</f>
        <v>1.5207142857142857</v>
      </c>
      <c r="H24" s="119"/>
    </row>
    <row r="25" spans="2:8" ht="15" x14ac:dyDescent="0.25">
      <c r="B25" s="90"/>
      <c r="C25" s="90"/>
      <c r="D25" s="90"/>
      <c r="E25" s="90"/>
      <c r="F25" s="130"/>
      <c r="G25" s="117"/>
      <c r="H25" s="90"/>
    </row>
    <row r="26" spans="2:8" ht="15.75" thickBot="1" x14ac:dyDescent="0.3">
      <c r="B26" s="90"/>
      <c r="C26" s="90"/>
      <c r="D26" s="90"/>
      <c r="E26" s="90"/>
      <c r="F26" s="117"/>
      <c r="G26" s="109"/>
      <c r="H26" s="90"/>
    </row>
    <row r="27" spans="2:8" ht="19.5" thickBot="1" x14ac:dyDescent="0.3">
      <c r="B27" s="153" t="s">
        <v>178</v>
      </c>
      <c r="C27" s="154"/>
      <c r="D27" s="154"/>
      <c r="E27" s="154"/>
      <c r="F27" s="154"/>
      <c r="G27" s="155"/>
      <c r="H27" s="90"/>
    </row>
    <row r="28" spans="2:8" ht="15" customHeight="1" x14ac:dyDescent="0.25">
      <c r="B28" s="176" t="s">
        <v>179</v>
      </c>
      <c r="C28" s="177"/>
      <c r="D28" s="178"/>
      <c r="E28" s="182" t="s">
        <v>180</v>
      </c>
      <c r="F28" s="182" t="s">
        <v>181</v>
      </c>
      <c r="G28" s="183" t="s">
        <v>182</v>
      </c>
      <c r="H28" s="119"/>
    </row>
    <row r="29" spans="2:8" ht="15" customHeight="1" x14ac:dyDescent="0.25">
      <c r="B29" s="179"/>
      <c r="C29" s="180"/>
      <c r="D29" s="181"/>
      <c r="E29" s="159"/>
      <c r="F29" s="159"/>
      <c r="G29" s="161"/>
      <c r="H29" s="119"/>
    </row>
    <row r="30" spans="2:8" ht="15" customHeight="1" thickBot="1" x14ac:dyDescent="0.3">
      <c r="B30" s="256" t="s">
        <v>193</v>
      </c>
      <c r="C30" s="257"/>
      <c r="D30" s="258"/>
      <c r="E30" s="259">
        <v>5551.5</v>
      </c>
      <c r="F30" s="260">
        <v>24</v>
      </c>
      <c r="G30" s="261">
        <f>E30/F30</f>
        <v>231.3125</v>
      </c>
      <c r="H30" s="119"/>
    </row>
    <row r="31" spans="2:8" ht="15.75" customHeight="1" thickBot="1" x14ac:dyDescent="0.3">
      <c r="B31" s="256" t="s">
        <v>194</v>
      </c>
      <c r="C31" s="257"/>
      <c r="D31" s="258"/>
      <c r="E31" s="259">
        <v>3502.25</v>
      </c>
      <c r="F31" s="260">
        <v>60</v>
      </c>
      <c r="G31" s="261">
        <f>E31/F31</f>
        <v>58.37083333333333</v>
      </c>
      <c r="H31" s="119"/>
    </row>
    <row r="32" spans="2:8" ht="15.75" customHeight="1" thickBot="1" x14ac:dyDescent="0.3">
      <c r="B32" s="167"/>
      <c r="C32" s="168"/>
      <c r="D32" s="168"/>
      <c r="E32" s="168"/>
      <c r="F32" s="168"/>
      <c r="G32" s="169"/>
      <c r="H32" s="119"/>
    </row>
    <row r="33" spans="2:8" ht="15.75" customHeight="1" thickBot="1" x14ac:dyDescent="0.3">
      <c r="B33" s="170" t="s">
        <v>183</v>
      </c>
      <c r="C33" s="171"/>
      <c r="D33" s="172"/>
      <c r="E33" s="266" t="s">
        <v>154</v>
      </c>
      <c r="F33" s="267" t="s">
        <v>155</v>
      </c>
      <c r="G33" s="268" t="s">
        <v>156</v>
      </c>
      <c r="H33" s="90"/>
    </row>
    <row r="34" spans="2:8" ht="15.75" customHeight="1" thickBot="1" x14ac:dyDescent="0.3">
      <c r="B34" s="167"/>
      <c r="C34" s="168"/>
      <c r="D34" s="169"/>
      <c r="E34" s="262" t="s">
        <v>193</v>
      </c>
      <c r="F34" s="264">
        <f>F36</f>
        <v>9.3333333333333339</v>
      </c>
      <c r="G34" s="263">
        <f>G30/F34</f>
        <v>24.783482142857142</v>
      </c>
      <c r="H34" s="90"/>
    </row>
    <row r="35" spans="2:8" ht="15.75" customHeight="1" thickBot="1" x14ac:dyDescent="0.3">
      <c r="B35" s="167"/>
      <c r="C35" s="168"/>
      <c r="D35" s="169"/>
      <c r="E35" s="262" t="s">
        <v>194</v>
      </c>
      <c r="F35" s="264">
        <f>F36</f>
        <v>9.3333333333333339</v>
      </c>
      <c r="G35" s="263">
        <f>G31/F35</f>
        <v>6.2540178571428564</v>
      </c>
      <c r="H35" s="90"/>
    </row>
    <row r="36" spans="2:8" ht="30.75" customHeight="1" thickBot="1" x14ac:dyDescent="0.3">
      <c r="B36" s="173"/>
      <c r="C36" s="174"/>
      <c r="D36" s="175"/>
      <c r="E36" s="116" t="s">
        <v>195</v>
      </c>
      <c r="F36" s="135">
        <f>(((Proposta!E7*2*8*5)+(Proposta!G7*2*4*5)))/60</f>
        <v>9.3333333333333339</v>
      </c>
      <c r="G36" s="265">
        <f>G34+G35</f>
        <v>31.037499999999998</v>
      </c>
      <c r="H36" s="90"/>
    </row>
    <row r="37" spans="2:8" ht="15" x14ac:dyDescent="0.25">
      <c r="B37" s="90"/>
      <c r="C37" s="90"/>
      <c r="D37" s="90"/>
      <c r="E37" s="90"/>
      <c r="F37" s="130"/>
      <c r="G37" s="117"/>
      <c r="H37" s="90"/>
    </row>
    <row r="38" spans="2:8" ht="15" hidden="1" x14ac:dyDescent="0.25">
      <c r="B38" s="90"/>
      <c r="C38" s="90"/>
      <c r="D38" s="90"/>
      <c r="E38" s="90"/>
      <c r="F38" s="117"/>
      <c r="G38" s="109"/>
      <c r="H38" s="90"/>
    </row>
    <row r="39" spans="2:8" ht="15" hidden="1" x14ac:dyDescent="0.25"/>
    <row r="40" spans="2:8" ht="15" hidden="1" x14ac:dyDescent="0.25"/>
    <row r="41" spans="2:8" ht="15" hidden="1" x14ac:dyDescent="0.25"/>
    <row r="42" spans="2:8" ht="15" hidden="1" x14ac:dyDescent="0.25"/>
    <row r="43" spans="2:8" ht="15" hidden="1" x14ac:dyDescent="0.25"/>
    <row r="44" spans="2:8" ht="15" hidden="1" x14ac:dyDescent="0.25"/>
    <row r="45" spans="2:8" ht="15" hidden="1" x14ac:dyDescent="0.25"/>
    <row r="46" spans="2:8" ht="15" hidden="1" x14ac:dyDescent="0.25"/>
    <row r="47" spans="2:8" ht="15" hidden="1" x14ac:dyDescent="0.25"/>
    <row r="48" spans="2:8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5" hidden="1" x14ac:dyDescent="0.25"/>
    <row r="61" ht="15" hidden="1" x14ac:dyDescent="0.25"/>
    <row r="62" ht="15" hidden="1" x14ac:dyDescent="0.25"/>
    <row r="63" ht="15" hidden="1" x14ac:dyDescent="0.25"/>
    <row r="64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</sheetData>
  <mergeCells count="28">
    <mergeCell ref="B31:D31"/>
    <mergeCell ref="B32:G32"/>
    <mergeCell ref="B33:D36"/>
    <mergeCell ref="E4:E5"/>
    <mergeCell ref="F4:F5"/>
    <mergeCell ref="G4:G5"/>
    <mergeCell ref="B4:B5"/>
    <mergeCell ref="B22:G22"/>
    <mergeCell ref="B23:D24"/>
    <mergeCell ref="B27:G27"/>
    <mergeCell ref="B28:D29"/>
    <mergeCell ref="E28:E29"/>
    <mergeCell ref="F28:F29"/>
    <mergeCell ref="G28:G29"/>
    <mergeCell ref="B30:D30"/>
    <mergeCell ref="B1:H1"/>
    <mergeCell ref="B18:G18"/>
    <mergeCell ref="B19:B20"/>
    <mergeCell ref="C19:C20"/>
    <mergeCell ref="D19:D20"/>
    <mergeCell ref="E19:E20"/>
    <mergeCell ref="F19:F20"/>
    <mergeCell ref="G19:G20"/>
    <mergeCell ref="B15:F15"/>
    <mergeCell ref="C4:C5"/>
    <mergeCell ref="B2:G2"/>
    <mergeCell ref="B3:G3"/>
    <mergeCell ref="D4:D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3"/>
  <dimension ref="A1:WVO151"/>
  <sheetViews>
    <sheetView topLeftCell="A73" zoomScale="80" zoomScaleNormal="80" workbookViewId="0">
      <selection activeCell="D102" sqref="D102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186" t="s">
        <v>9</v>
      </c>
      <c r="B1" s="186"/>
      <c r="C1" s="186"/>
      <c r="D1" s="186"/>
    </row>
    <row r="2" spans="1:4" x14ac:dyDescent="0.3">
      <c r="A2" s="187" t="s">
        <v>19</v>
      </c>
      <c r="B2" s="187"/>
      <c r="C2" s="188" t="s">
        <v>17</v>
      </c>
      <c r="D2" s="189"/>
    </row>
    <row r="3" spans="1:4" x14ac:dyDescent="0.3">
      <c r="A3" s="187" t="s">
        <v>20</v>
      </c>
      <c r="B3" s="187"/>
      <c r="C3" s="188" t="s">
        <v>114</v>
      </c>
      <c r="D3" s="189"/>
    </row>
    <row r="4" spans="1:4" x14ac:dyDescent="0.3">
      <c r="A4" s="190"/>
      <c r="B4" s="190"/>
      <c r="C4" s="190"/>
      <c r="D4" s="190"/>
    </row>
    <row r="5" spans="1:4" x14ac:dyDescent="0.3">
      <c r="A5" s="190" t="s">
        <v>21</v>
      </c>
      <c r="B5" s="190"/>
      <c r="C5" s="190"/>
      <c r="D5" s="190"/>
    </row>
    <row r="6" spans="1:4" x14ac:dyDescent="0.3">
      <c r="A6" s="69" t="s">
        <v>22</v>
      </c>
      <c r="B6" s="68" t="s">
        <v>8</v>
      </c>
      <c r="C6" s="191" t="s">
        <v>115</v>
      </c>
      <c r="D6" s="192"/>
    </row>
    <row r="7" spans="1:4" x14ac:dyDescent="0.3">
      <c r="A7" s="69" t="s">
        <v>23</v>
      </c>
      <c r="B7" s="68" t="s">
        <v>7</v>
      </c>
      <c r="C7" s="193" t="s">
        <v>24</v>
      </c>
      <c r="D7" s="193"/>
    </row>
    <row r="8" spans="1:4" x14ac:dyDescent="0.3">
      <c r="A8" s="3" t="s">
        <v>25</v>
      </c>
      <c r="B8" s="4" t="s">
        <v>26</v>
      </c>
      <c r="C8" s="194"/>
      <c r="D8" s="195"/>
    </row>
    <row r="9" spans="1:4" x14ac:dyDescent="0.3">
      <c r="A9" s="69" t="s">
        <v>27</v>
      </c>
      <c r="B9" s="68" t="s">
        <v>28</v>
      </c>
      <c r="C9" s="184" t="s">
        <v>29</v>
      </c>
      <c r="D9" s="185"/>
    </row>
    <row r="10" spans="1:4" x14ac:dyDescent="0.3">
      <c r="A10" s="69" t="s">
        <v>30</v>
      </c>
      <c r="B10" s="68" t="s">
        <v>31</v>
      </c>
      <c r="C10" s="184" t="s">
        <v>32</v>
      </c>
      <c r="D10" s="185"/>
    </row>
    <row r="11" spans="1:4" x14ac:dyDescent="0.3">
      <c r="A11" s="69" t="s">
        <v>33</v>
      </c>
      <c r="B11" s="68" t="s">
        <v>34</v>
      </c>
      <c r="C11" s="198">
        <f>Proposta!E5</f>
        <v>2</v>
      </c>
      <c r="D11" s="199"/>
    </row>
    <row r="12" spans="1:4" x14ac:dyDescent="0.3">
      <c r="A12" s="69" t="s">
        <v>35</v>
      </c>
      <c r="B12" s="68" t="s">
        <v>36</v>
      </c>
      <c r="C12" s="200">
        <v>24</v>
      </c>
      <c r="D12" s="201"/>
    </row>
    <row r="13" spans="1:4" x14ac:dyDescent="0.3">
      <c r="A13" s="202"/>
      <c r="B13" s="203"/>
      <c r="C13" s="203"/>
      <c r="D13" s="203"/>
    </row>
    <row r="14" spans="1:4" x14ac:dyDescent="0.3">
      <c r="A14" s="204" t="s">
        <v>37</v>
      </c>
      <c r="B14" s="205"/>
      <c r="C14" s="205"/>
      <c r="D14" s="206"/>
    </row>
    <row r="15" spans="1:4" x14ac:dyDescent="0.3">
      <c r="A15" s="193" t="s">
        <v>38</v>
      </c>
      <c r="B15" s="193"/>
      <c r="C15" s="193"/>
      <c r="D15" s="193"/>
    </row>
    <row r="16" spans="1:4" x14ac:dyDescent="0.3">
      <c r="A16" s="69">
        <v>1</v>
      </c>
      <c r="B16" s="68" t="s">
        <v>39</v>
      </c>
      <c r="C16" s="184" t="s">
        <v>1</v>
      </c>
      <c r="D16" s="185" t="s">
        <v>1</v>
      </c>
    </row>
    <row r="17" spans="1:4" x14ac:dyDescent="0.3">
      <c r="A17" s="69"/>
      <c r="B17" s="51" t="s">
        <v>116</v>
      </c>
      <c r="C17" s="184">
        <f>C11</f>
        <v>2</v>
      </c>
      <c r="D17" s="185">
        <v>1</v>
      </c>
    </row>
    <row r="18" spans="1:4" x14ac:dyDescent="0.3">
      <c r="A18" s="69">
        <v>2</v>
      </c>
      <c r="B18" s="5" t="s">
        <v>40</v>
      </c>
      <c r="C18" s="207" t="s">
        <v>41</v>
      </c>
      <c r="D18" s="208"/>
    </row>
    <row r="19" spans="1:4" x14ac:dyDescent="0.3">
      <c r="A19" s="193" t="s">
        <v>42</v>
      </c>
      <c r="B19" s="193"/>
      <c r="C19" s="193"/>
      <c r="D19" s="193"/>
    </row>
    <row r="20" spans="1:4" x14ac:dyDescent="0.3">
      <c r="A20" s="69">
        <v>3</v>
      </c>
      <c r="B20" s="196" t="s">
        <v>6</v>
      </c>
      <c r="C20" s="197"/>
      <c r="D20" s="6">
        <v>1702.6</v>
      </c>
    </row>
    <row r="21" spans="1:4" x14ac:dyDescent="0.3">
      <c r="A21" s="69">
        <v>4</v>
      </c>
      <c r="B21" s="196" t="s">
        <v>43</v>
      </c>
      <c r="C21" s="197"/>
      <c r="D21" s="7" t="s">
        <v>117</v>
      </c>
    </row>
    <row r="22" spans="1:4" x14ac:dyDescent="0.3">
      <c r="A22" s="69">
        <v>5</v>
      </c>
      <c r="B22" s="196" t="s">
        <v>5</v>
      </c>
      <c r="C22" s="197"/>
      <c r="D22" s="8">
        <v>44197</v>
      </c>
    </row>
    <row r="23" spans="1:4" x14ac:dyDescent="0.3">
      <c r="A23" s="184"/>
      <c r="B23" s="212"/>
      <c r="C23" s="212"/>
      <c r="D23" s="185"/>
    </row>
    <row r="24" spans="1:4" x14ac:dyDescent="0.3">
      <c r="A24" s="213" t="s">
        <v>44</v>
      </c>
      <c r="B24" s="213"/>
      <c r="C24" s="213"/>
      <c r="D24" s="213"/>
    </row>
    <row r="25" spans="1:4" x14ac:dyDescent="0.3">
      <c r="A25" s="200"/>
      <c r="B25" s="214"/>
      <c r="C25" s="214"/>
      <c r="D25" s="201"/>
    </row>
    <row r="26" spans="1:4" x14ac:dyDescent="0.3">
      <c r="A26" s="70">
        <v>1</v>
      </c>
      <c r="B26" s="215" t="s">
        <v>45</v>
      </c>
      <c r="C26" s="216"/>
      <c r="D26" s="70" t="s">
        <v>46</v>
      </c>
    </row>
    <row r="27" spans="1:4" x14ac:dyDescent="0.3">
      <c r="A27" s="69" t="s">
        <v>47</v>
      </c>
      <c r="B27" s="68" t="s">
        <v>48</v>
      </c>
      <c r="C27" s="9">
        <v>220</v>
      </c>
      <c r="D27" s="10">
        <f>D20/220*C27</f>
        <v>1702.6</v>
      </c>
    </row>
    <row r="28" spans="1:4" x14ac:dyDescent="0.3">
      <c r="A28" s="69" t="s">
        <v>23</v>
      </c>
      <c r="B28" s="68" t="s">
        <v>49</v>
      </c>
      <c r="C28" s="11">
        <v>0.1</v>
      </c>
      <c r="D28" s="10">
        <f>C28*D27</f>
        <v>170.26</v>
      </c>
    </row>
    <row r="29" spans="1:4" x14ac:dyDescent="0.3">
      <c r="A29" s="69" t="s">
        <v>25</v>
      </c>
      <c r="B29" s="68" t="s">
        <v>50</v>
      </c>
      <c r="C29" s="11">
        <v>0</v>
      </c>
      <c r="D29" s="10">
        <f>C29*D27</f>
        <v>0</v>
      </c>
    </row>
    <row r="30" spans="1:4" x14ac:dyDescent="0.3">
      <c r="A30" s="69" t="s">
        <v>27</v>
      </c>
      <c r="B30" s="68" t="s">
        <v>165</v>
      </c>
      <c r="C30" s="123">
        <v>0</v>
      </c>
      <c r="D30" s="12">
        <f>((D20/C27)+(D20/C27/2))*C30</f>
        <v>0</v>
      </c>
    </row>
    <row r="31" spans="1:4" x14ac:dyDescent="0.3">
      <c r="A31" s="73" t="s">
        <v>30</v>
      </c>
      <c r="B31" s="74" t="s">
        <v>166</v>
      </c>
      <c r="C31" s="11">
        <v>0</v>
      </c>
      <c r="D31" s="12">
        <f>C31*D30</f>
        <v>0</v>
      </c>
    </row>
    <row r="32" spans="1:4" x14ac:dyDescent="0.3">
      <c r="A32" s="69" t="s">
        <v>33</v>
      </c>
      <c r="B32" s="68" t="s">
        <v>167</v>
      </c>
      <c r="C32" s="123">
        <v>0</v>
      </c>
      <c r="D32" s="12">
        <f>(D20/C27)*C32</f>
        <v>0</v>
      </c>
    </row>
    <row r="33" spans="1:4" x14ac:dyDescent="0.3">
      <c r="A33" s="69" t="s">
        <v>35</v>
      </c>
      <c r="B33" s="13" t="s">
        <v>51</v>
      </c>
      <c r="C33" s="14">
        <v>0</v>
      </c>
      <c r="D33" s="12">
        <v>0</v>
      </c>
    </row>
    <row r="34" spans="1:4" x14ac:dyDescent="0.3">
      <c r="A34" s="215" t="s">
        <v>52</v>
      </c>
      <c r="B34" s="217"/>
      <c r="C34" s="216"/>
      <c r="D34" s="15">
        <f>SUM(D27:D33)</f>
        <v>1872.86</v>
      </c>
    </row>
    <row r="35" spans="1:4" x14ac:dyDescent="0.3">
      <c r="A35" s="218"/>
      <c r="B35" s="218"/>
      <c r="C35" s="218"/>
      <c r="D35" s="218"/>
    </row>
    <row r="36" spans="1:4" x14ac:dyDescent="0.3">
      <c r="A36" s="219" t="s">
        <v>53</v>
      </c>
      <c r="B36" s="220"/>
      <c r="C36" s="220"/>
      <c r="D36" s="221"/>
    </row>
    <row r="37" spans="1:4" x14ac:dyDescent="0.3">
      <c r="A37" s="209"/>
      <c r="B37" s="210"/>
      <c r="C37" s="210"/>
      <c r="D37" s="211"/>
    </row>
    <row r="38" spans="1:4" x14ac:dyDescent="0.3">
      <c r="A38" s="16" t="s">
        <v>54</v>
      </c>
      <c r="B38" s="17" t="s">
        <v>55</v>
      </c>
      <c r="C38" s="16" t="s">
        <v>56</v>
      </c>
      <c r="D38" s="16" t="s">
        <v>46</v>
      </c>
    </row>
    <row r="39" spans="1:4" x14ac:dyDescent="0.3">
      <c r="A39" s="18" t="s">
        <v>47</v>
      </c>
      <c r="B39" s="19" t="s">
        <v>57</v>
      </c>
      <c r="C39" s="20">
        <f>1/12</f>
        <v>8.3333333333333329E-2</v>
      </c>
      <c r="D39" s="10">
        <f>C39*D34</f>
        <v>156.07166666666666</v>
      </c>
    </row>
    <row r="40" spans="1:4" x14ac:dyDescent="0.3">
      <c r="A40" s="18" t="s">
        <v>23</v>
      </c>
      <c r="B40" s="19" t="s">
        <v>58</v>
      </c>
      <c r="C40" s="20">
        <f>(C39*1/3)</f>
        <v>2.7777777777777776E-2</v>
      </c>
      <c r="D40" s="10">
        <f>C40*D34</f>
        <v>52.023888888888884</v>
      </c>
    </row>
    <row r="41" spans="1:4" x14ac:dyDescent="0.3">
      <c r="A41" s="222" t="s">
        <v>15</v>
      </c>
      <c r="B41" s="223"/>
      <c r="C41" s="21">
        <f>SUM(C39:C40)</f>
        <v>0.1111111111111111</v>
      </c>
      <c r="D41" s="22">
        <f>SUM(D39:D40)</f>
        <v>208.09555555555553</v>
      </c>
    </row>
    <row r="42" spans="1:4" x14ac:dyDescent="0.3">
      <c r="A42" s="209"/>
      <c r="B42" s="210"/>
      <c r="C42" s="210"/>
      <c r="D42" s="211"/>
    </row>
    <row r="43" spans="1:4" x14ac:dyDescent="0.3">
      <c r="A43" s="16" t="s">
        <v>59</v>
      </c>
      <c r="B43" s="23" t="s">
        <v>60</v>
      </c>
      <c r="C43" s="16" t="s">
        <v>56</v>
      </c>
      <c r="D43" s="24" t="s">
        <v>46</v>
      </c>
    </row>
    <row r="44" spans="1:4" x14ac:dyDescent="0.3">
      <c r="A44" s="66" t="s">
        <v>47</v>
      </c>
      <c r="B44" s="25" t="s">
        <v>61</v>
      </c>
      <c r="C44" s="26">
        <v>0.2</v>
      </c>
      <c r="D44" s="10">
        <f t="shared" ref="D44:D51" si="0">C44*($D$34+$D$41)</f>
        <v>416.19111111111107</v>
      </c>
    </row>
    <row r="45" spans="1:4" x14ac:dyDescent="0.3">
      <c r="A45" s="66" t="s">
        <v>23</v>
      </c>
      <c r="B45" s="25" t="s">
        <v>62</v>
      </c>
      <c r="C45" s="26">
        <v>2.5000000000000001E-2</v>
      </c>
      <c r="D45" s="10">
        <f t="shared" si="0"/>
        <v>52.023888888888884</v>
      </c>
    </row>
    <row r="46" spans="1:4" x14ac:dyDescent="0.3">
      <c r="A46" s="66" t="s">
        <v>25</v>
      </c>
      <c r="B46" s="25" t="s">
        <v>168</v>
      </c>
      <c r="C46" s="27">
        <v>0.03</v>
      </c>
      <c r="D46" s="10">
        <f t="shared" si="0"/>
        <v>62.428666666666658</v>
      </c>
    </row>
    <row r="47" spans="1:4" x14ac:dyDescent="0.3">
      <c r="A47" s="66" t="s">
        <v>27</v>
      </c>
      <c r="B47" s="25" t="s">
        <v>63</v>
      </c>
      <c r="C47" s="26">
        <v>1.4999999999999999E-2</v>
      </c>
      <c r="D47" s="10">
        <f t="shared" si="0"/>
        <v>31.214333333333329</v>
      </c>
    </row>
    <row r="48" spans="1:4" x14ac:dyDescent="0.3">
      <c r="A48" s="66" t="s">
        <v>30</v>
      </c>
      <c r="B48" s="25" t="s">
        <v>64</v>
      </c>
      <c r="C48" s="26">
        <v>0.01</v>
      </c>
      <c r="D48" s="10">
        <f t="shared" si="0"/>
        <v>20.809555555555555</v>
      </c>
    </row>
    <row r="49" spans="1:4" x14ac:dyDescent="0.3">
      <c r="A49" s="66" t="s">
        <v>33</v>
      </c>
      <c r="B49" s="25" t="s">
        <v>65</v>
      </c>
      <c r="C49" s="26">
        <v>6.0000000000000001E-3</v>
      </c>
      <c r="D49" s="10">
        <f t="shared" si="0"/>
        <v>12.485733333333332</v>
      </c>
    </row>
    <row r="50" spans="1:4" x14ac:dyDescent="0.3">
      <c r="A50" s="66" t="s">
        <v>35</v>
      </c>
      <c r="B50" s="25" t="s">
        <v>66</v>
      </c>
      <c r="C50" s="26">
        <v>2E-3</v>
      </c>
      <c r="D50" s="10">
        <f t="shared" si="0"/>
        <v>4.1619111111111105</v>
      </c>
    </row>
    <row r="51" spans="1:4" x14ac:dyDescent="0.3">
      <c r="A51" s="66" t="s">
        <v>67</v>
      </c>
      <c r="B51" s="25" t="s">
        <v>68</v>
      </c>
      <c r="C51" s="26">
        <v>0.08</v>
      </c>
      <c r="D51" s="10">
        <f t="shared" si="0"/>
        <v>166.47644444444444</v>
      </c>
    </row>
    <row r="52" spans="1:4" x14ac:dyDescent="0.3">
      <c r="A52" s="222" t="s">
        <v>15</v>
      </c>
      <c r="B52" s="223"/>
      <c r="C52" s="28">
        <f>SUM(C44:C51)</f>
        <v>0.36800000000000005</v>
      </c>
      <c r="D52" s="29">
        <f>SUM(D44:D51)</f>
        <v>765.79164444444427</v>
      </c>
    </row>
    <row r="53" spans="1:4" x14ac:dyDescent="0.3">
      <c r="A53" s="209"/>
      <c r="B53" s="210"/>
      <c r="C53" s="210"/>
      <c r="D53" s="211"/>
    </row>
    <row r="54" spans="1:4" x14ac:dyDescent="0.3">
      <c r="A54" s="16" t="s">
        <v>69</v>
      </c>
      <c r="B54" s="23" t="s">
        <v>70</v>
      </c>
      <c r="C54" s="16" t="s">
        <v>71</v>
      </c>
      <c r="D54" s="16" t="s">
        <v>46</v>
      </c>
    </row>
    <row r="55" spans="1:4" x14ac:dyDescent="0.3">
      <c r="A55" s="66" t="s">
        <v>47</v>
      </c>
      <c r="B55" s="25" t="s">
        <v>72</v>
      </c>
      <c r="C55" s="30">
        <v>4.18</v>
      </c>
      <c r="D55" s="31">
        <f>(21*2*C55)-(D27*6%)</f>
        <v>73.404000000000011</v>
      </c>
    </row>
    <row r="56" spans="1:4" x14ac:dyDescent="0.3">
      <c r="A56" s="66" t="s">
        <v>23</v>
      </c>
      <c r="B56" s="25" t="s">
        <v>73</v>
      </c>
      <c r="C56" s="32">
        <v>16.55</v>
      </c>
      <c r="D56" s="31">
        <f>(C56*22)*0.99</f>
        <v>360.459</v>
      </c>
    </row>
    <row r="57" spans="1:4" x14ac:dyDescent="0.3">
      <c r="A57" s="66" t="s">
        <v>118</v>
      </c>
      <c r="B57" s="25" t="s">
        <v>119</v>
      </c>
      <c r="C57" s="52">
        <v>-0.01</v>
      </c>
      <c r="D57" s="31">
        <f>C57*D56</f>
        <v>-3.60459</v>
      </c>
    </row>
    <row r="58" spans="1:4" x14ac:dyDescent="0.3">
      <c r="A58" s="66" t="s">
        <v>25</v>
      </c>
      <c r="B58" s="25" t="s">
        <v>120</v>
      </c>
      <c r="C58" s="52">
        <v>0.01</v>
      </c>
      <c r="D58" s="31">
        <f>C58*D34</f>
        <v>18.7286</v>
      </c>
    </row>
    <row r="59" spans="1:4" x14ac:dyDescent="0.3">
      <c r="A59" s="66" t="s">
        <v>27</v>
      </c>
      <c r="B59" s="25" t="s">
        <v>121</v>
      </c>
      <c r="C59" s="53">
        <v>6.0000000000000001E-3</v>
      </c>
      <c r="D59" s="31">
        <f>C59*D27</f>
        <v>10.2156</v>
      </c>
    </row>
    <row r="60" spans="1:4" x14ac:dyDescent="0.3">
      <c r="A60" s="66" t="s">
        <v>30</v>
      </c>
      <c r="B60" s="54" t="s">
        <v>74</v>
      </c>
      <c r="C60" s="55">
        <v>0.05</v>
      </c>
      <c r="D60" s="56">
        <f>C60*D34</f>
        <v>93.643000000000001</v>
      </c>
    </row>
    <row r="61" spans="1:4" x14ac:dyDescent="0.3">
      <c r="A61" s="66" t="s">
        <v>33</v>
      </c>
      <c r="B61" s="34" t="s">
        <v>51</v>
      </c>
      <c r="C61" s="35"/>
      <c r="D61" s="33">
        <f>C61</f>
        <v>0</v>
      </c>
    </row>
    <row r="62" spans="1:4" x14ac:dyDescent="0.3">
      <c r="A62" s="222" t="s">
        <v>75</v>
      </c>
      <c r="B62" s="224"/>
      <c r="C62" s="223"/>
      <c r="D62" s="22">
        <f>SUM(D55:D61)</f>
        <v>552.84561000000008</v>
      </c>
    </row>
    <row r="63" spans="1:4" x14ac:dyDescent="0.3">
      <c r="A63" s="209"/>
      <c r="B63" s="210"/>
      <c r="C63" s="210"/>
      <c r="D63" s="211"/>
    </row>
    <row r="64" spans="1:4" x14ac:dyDescent="0.3">
      <c r="A64" s="225" t="s">
        <v>76</v>
      </c>
      <c r="B64" s="226"/>
      <c r="C64" s="16" t="s">
        <v>56</v>
      </c>
      <c r="D64" s="16" t="s">
        <v>46</v>
      </c>
    </row>
    <row r="65" spans="1:5" x14ac:dyDescent="0.3">
      <c r="A65" s="66" t="s">
        <v>77</v>
      </c>
      <c r="B65" s="25" t="s">
        <v>55</v>
      </c>
      <c r="C65" s="36">
        <f>C41</f>
        <v>0.1111111111111111</v>
      </c>
      <c r="D65" s="10">
        <f>D41</f>
        <v>208.09555555555553</v>
      </c>
    </row>
    <row r="66" spans="1:5" x14ac:dyDescent="0.3">
      <c r="A66" s="66" t="s">
        <v>59</v>
      </c>
      <c r="B66" s="25" t="s">
        <v>60</v>
      </c>
      <c r="C66" s="36">
        <f>C52</f>
        <v>0.36800000000000005</v>
      </c>
      <c r="D66" s="10">
        <f>D52</f>
        <v>765.79164444444427</v>
      </c>
    </row>
    <row r="67" spans="1:5" x14ac:dyDescent="0.3">
      <c r="A67" s="66" t="s">
        <v>78</v>
      </c>
      <c r="B67" s="25" t="s">
        <v>70</v>
      </c>
      <c r="C67" s="36">
        <f>D62/D34</f>
        <v>0.29518789978962662</v>
      </c>
      <c r="D67" s="10">
        <f>D62</f>
        <v>552.84561000000008</v>
      </c>
    </row>
    <row r="68" spans="1:5" x14ac:dyDescent="0.3">
      <c r="A68" s="222" t="s">
        <v>15</v>
      </c>
      <c r="B68" s="224"/>
      <c r="C68" s="223"/>
      <c r="D68" s="22">
        <f>SUM(D65:D67)</f>
        <v>1526.73281</v>
      </c>
    </row>
    <row r="69" spans="1:5" x14ac:dyDescent="0.3">
      <c r="A69" s="209"/>
      <c r="B69" s="210"/>
      <c r="C69" s="210"/>
      <c r="D69" s="211"/>
    </row>
    <row r="70" spans="1:5" x14ac:dyDescent="0.3">
      <c r="A70" s="219" t="s">
        <v>185</v>
      </c>
      <c r="B70" s="220"/>
      <c r="C70" s="220"/>
      <c r="D70" s="221"/>
    </row>
    <row r="71" spans="1:5" x14ac:dyDescent="0.3">
      <c r="A71" s="227" t="s">
        <v>141</v>
      </c>
      <c r="B71" s="228"/>
      <c r="C71" s="93">
        <v>0.71599999999999997</v>
      </c>
      <c r="D71" s="94">
        <f>1/60</f>
        <v>1.6666666666666666E-2</v>
      </c>
    </row>
    <row r="72" spans="1:5" x14ac:dyDescent="0.3">
      <c r="A72" s="133">
        <v>3</v>
      </c>
      <c r="B72" s="23" t="s">
        <v>79</v>
      </c>
      <c r="C72" s="16" t="s">
        <v>56</v>
      </c>
      <c r="D72" s="16" t="s">
        <v>46</v>
      </c>
    </row>
    <row r="73" spans="1:5" x14ac:dyDescent="0.3">
      <c r="A73" s="132" t="s">
        <v>47</v>
      </c>
      <c r="B73" s="25" t="s">
        <v>186</v>
      </c>
      <c r="C73" s="137" t="s">
        <v>161</v>
      </c>
      <c r="D73" s="38">
        <f>D34+D65+D67+D51</f>
        <v>2800.2776100000001</v>
      </c>
      <c r="E73" s="37"/>
    </row>
    <row r="74" spans="1:5" x14ac:dyDescent="0.3">
      <c r="A74" s="132" t="s">
        <v>131</v>
      </c>
      <c r="B74" s="25" t="s">
        <v>136</v>
      </c>
      <c r="C74" s="138">
        <v>61</v>
      </c>
      <c r="D74" s="139">
        <f>((D34+D41)*(C74-1))+(D34+D39)</f>
        <v>126886.26499999998</v>
      </c>
    </row>
    <row r="75" spans="1:5" x14ac:dyDescent="0.3">
      <c r="A75" s="132" t="s">
        <v>132</v>
      </c>
      <c r="B75" s="25" t="s">
        <v>80</v>
      </c>
      <c r="C75" s="36">
        <f>C51</f>
        <v>0.08</v>
      </c>
      <c r="D75" s="38">
        <f>C75*D74</f>
        <v>10150.901199999998</v>
      </c>
    </row>
    <row r="76" spans="1:5" x14ac:dyDescent="0.3">
      <c r="A76" s="132" t="s">
        <v>133</v>
      </c>
      <c r="B76" s="25" t="s">
        <v>187</v>
      </c>
      <c r="C76" s="36">
        <v>0.4</v>
      </c>
      <c r="D76" s="38">
        <f>C76*D75</f>
        <v>4060.3604799999994</v>
      </c>
    </row>
    <row r="77" spans="1:5" x14ac:dyDescent="0.3">
      <c r="A77" s="132" t="s">
        <v>188</v>
      </c>
      <c r="B77" s="140" t="s">
        <v>189</v>
      </c>
      <c r="C77" s="71">
        <v>0.1</v>
      </c>
      <c r="D77" s="95">
        <f>((D76+D73)*C77)</f>
        <v>686.06380899999999</v>
      </c>
    </row>
    <row r="78" spans="1:5" x14ac:dyDescent="0.3">
      <c r="A78" s="132" t="s">
        <v>118</v>
      </c>
      <c r="B78" s="25" t="s">
        <v>136</v>
      </c>
      <c r="C78" s="141">
        <v>60</v>
      </c>
      <c r="D78" s="10">
        <f>(D34+D41)*C78</f>
        <v>124857.33333333331</v>
      </c>
    </row>
    <row r="79" spans="1:5" ht="15.75" customHeight="1" x14ac:dyDescent="0.3">
      <c r="A79" s="132" t="s">
        <v>134</v>
      </c>
      <c r="B79" s="25" t="s">
        <v>81</v>
      </c>
      <c r="C79" s="36">
        <f>C51</f>
        <v>0.08</v>
      </c>
      <c r="D79" s="10">
        <f>C79*D78</f>
        <v>9988.5866666666661</v>
      </c>
    </row>
    <row r="80" spans="1:5" x14ac:dyDescent="0.3">
      <c r="A80" s="132" t="s">
        <v>135</v>
      </c>
      <c r="B80" s="25" t="s">
        <v>190</v>
      </c>
      <c r="C80" s="36">
        <v>0.4</v>
      </c>
      <c r="D80" s="38">
        <f>(C80*D79)</f>
        <v>3995.4346666666665</v>
      </c>
      <c r="E80" s="37"/>
    </row>
    <row r="81" spans="1:7" x14ac:dyDescent="0.3">
      <c r="A81" s="132" t="s">
        <v>140</v>
      </c>
      <c r="B81" s="25" t="str">
        <f>"+ 7 dias ( parágrafo único do art. 488 da CLT)"</f>
        <v>+ 7 dias ( parágrafo único do art. 488 da CLT)</v>
      </c>
      <c r="C81" s="36">
        <f>((1/30)*7)</f>
        <v>0.23333333333333334</v>
      </c>
      <c r="D81" s="38">
        <f>C81*(D34+D41+D52)</f>
        <v>664.24101333333329</v>
      </c>
      <c r="E81" s="37"/>
    </row>
    <row r="82" spans="1:7" x14ac:dyDescent="0.3">
      <c r="A82" s="132" t="s">
        <v>4</v>
      </c>
      <c r="B82" s="140" t="s">
        <v>191</v>
      </c>
      <c r="C82" s="71">
        <v>0.9</v>
      </c>
      <c r="D82" s="95">
        <f>(C82*(D80+D81))</f>
        <v>4193.7081120000003</v>
      </c>
      <c r="E82" s="37"/>
    </row>
    <row r="83" spans="1:7" x14ac:dyDescent="0.3">
      <c r="A83" s="222" t="s">
        <v>82</v>
      </c>
      <c r="B83" s="223"/>
      <c r="C83" s="21">
        <f>C82+C77</f>
        <v>1</v>
      </c>
      <c r="D83" s="22">
        <f>((D82+D77)*D71)*C71</f>
        <v>58.231944923933334</v>
      </c>
    </row>
    <row r="84" spans="1:7" x14ac:dyDescent="0.3">
      <c r="A84" s="209"/>
      <c r="B84" s="210"/>
      <c r="C84" s="210"/>
      <c r="D84" s="211"/>
    </row>
    <row r="85" spans="1:7" x14ac:dyDescent="0.3">
      <c r="A85" s="219" t="s">
        <v>83</v>
      </c>
      <c r="B85" s="220"/>
      <c r="C85" s="220"/>
      <c r="D85" s="221"/>
    </row>
    <row r="86" spans="1:7" x14ac:dyDescent="0.3">
      <c r="A86" s="229"/>
      <c r="B86" s="230"/>
      <c r="C86" s="230"/>
      <c r="D86" s="231"/>
    </row>
    <row r="87" spans="1:7" x14ac:dyDescent="0.3">
      <c r="A87" s="16" t="s">
        <v>84</v>
      </c>
      <c r="B87" s="23" t="s">
        <v>85</v>
      </c>
      <c r="C87" s="21" t="s">
        <v>56</v>
      </c>
      <c r="D87" s="16" t="s">
        <v>46</v>
      </c>
    </row>
    <row r="88" spans="1:7" x14ac:dyDescent="0.3">
      <c r="A88" s="66" t="s">
        <v>47</v>
      </c>
      <c r="B88" s="25" t="s">
        <v>86</v>
      </c>
      <c r="C88" s="92">
        <f>((0.0416666666*24)+(0.08333333*24)+(0.08333333*12))*D71</f>
        <v>6.6666664639999998E-2</v>
      </c>
      <c r="D88" s="38">
        <f>C88*(D34+D68+D83)</f>
        <v>230.52164332040405</v>
      </c>
      <c r="G88" s="62"/>
    </row>
    <row r="89" spans="1:7" x14ac:dyDescent="0.3">
      <c r="A89" s="66" t="s">
        <v>23</v>
      </c>
      <c r="B89" s="25" t="s">
        <v>138</v>
      </c>
      <c r="C89" s="39">
        <v>1.66E-2</v>
      </c>
      <c r="D89" s="38">
        <f>C89*(D34+D68+D83)</f>
        <v>57.399890931737296</v>
      </c>
      <c r="G89" s="62"/>
    </row>
    <row r="90" spans="1:7" x14ac:dyDescent="0.3">
      <c r="A90" s="66" t="s">
        <v>25</v>
      </c>
      <c r="B90" s="25" t="s">
        <v>139</v>
      </c>
      <c r="C90" s="39">
        <v>2.7000000000000001E-3</v>
      </c>
      <c r="D90" s="38">
        <f>C90*(D34+D68+D83)</f>
        <v>9.3361268382946214</v>
      </c>
      <c r="G90" s="62"/>
    </row>
    <row r="91" spans="1:7" x14ac:dyDescent="0.3">
      <c r="A91" s="66" t="s">
        <v>27</v>
      </c>
      <c r="B91" s="25" t="s">
        <v>137</v>
      </c>
      <c r="C91" s="39">
        <v>2.8E-3</v>
      </c>
      <c r="D91" s="38">
        <f>C91*(D34+D68+D83)</f>
        <v>9.6819093137870134</v>
      </c>
    </row>
    <row r="92" spans="1:7" x14ac:dyDescent="0.3">
      <c r="A92" s="66" t="s">
        <v>30</v>
      </c>
      <c r="B92" s="25" t="s">
        <v>87</v>
      </c>
      <c r="C92" s="39">
        <v>2.0000000000000001E-4</v>
      </c>
      <c r="D92" s="38">
        <f>C92*(D34+D68+D83)</f>
        <v>0.69156495098478676</v>
      </c>
    </row>
    <row r="93" spans="1:7" x14ac:dyDescent="0.3">
      <c r="A93" s="66" t="s">
        <v>33</v>
      </c>
      <c r="B93" s="25" t="s">
        <v>88</v>
      </c>
      <c r="C93" s="39">
        <v>2.9999999999999997E-4</v>
      </c>
      <c r="D93" s="38">
        <f>C93*(D39+D52+D56+D60+D83)</f>
        <v>0.43025917681051329</v>
      </c>
    </row>
    <row r="94" spans="1:7" x14ac:dyDescent="0.3">
      <c r="A94" s="66" t="s">
        <v>35</v>
      </c>
      <c r="B94" s="13" t="s">
        <v>51</v>
      </c>
      <c r="C94" s="40">
        <v>0</v>
      </c>
      <c r="D94" s="38">
        <f>C94*(D34+D68+D83)</f>
        <v>0</v>
      </c>
    </row>
    <row r="95" spans="1:7" x14ac:dyDescent="0.3">
      <c r="A95" s="222" t="s">
        <v>15</v>
      </c>
      <c r="B95" s="223"/>
      <c r="C95" s="21">
        <f>SUM(C88:C94)</f>
        <v>8.9266664639999993E-2</v>
      </c>
      <c r="D95" s="22">
        <f>SUM(D88:D94)</f>
        <v>308.06139453201826</v>
      </c>
    </row>
    <row r="96" spans="1:7" x14ac:dyDescent="0.3">
      <c r="A96" s="209"/>
      <c r="B96" s="210"/>
      <c r="C96" s="210"/>
      <c r="D96" s="211"/>
    </row>
    <row r="97" spans="1:4" x14ac:dyDescent="0.3">
      <c r="A97" s="219" t="s">
        <v>89</v>
      </c>
      <c r="B97" s="220"/>
      <c r="C97" s="220"/>
      <c r="D97" s="221"/>
    </row>
    <row r="98" spans="1:4" x14ac:dyDescent="0.3">
      <c r="A98" s="229"/>
      <c r="B98" s="230"/>
      <c r="C98" s="230"/>
      <c r="D98" s="231"/>
    </row>
    <row r="99" spans="1:4" x14ac:dyDescent="0.3">
      <c r="A99" s="70">
        <v>5</v>
      </c>
      <c r="B99" s="222" t="s">
        <v>90</v>
      </c>
      <c r="C99" s="223"/>
      <c r="D99" s="16" t="s">
        <v>46</v>
      </c>
    </row>
    <row r="100" spans="1:4" x14ac:dyDescent="0.3">
      <c r="A100" s="66" t="s">
        <v>47</v>
      </c>
      <c r="B100" s="233" t="s">
        <v>157</v>
      </c>
      <c r="C100" s="234"/>
      <c r="D100" s="107">
        <f>INSUMOS!G15</f>
        <v>29.437222222222221</v>
      </c>
    </row>
    <row r="101" spans="1:4" x14ac:dyDescent="0.3">
      <c r="A101" s="66" t="s">
        <v>23</v>
      </c>
      <c r="B101" s="233" t="s">
        <v>122</v>
      </c>
      <c r="C101" s="234"/>
      <c r="D101" s="118">
        <f>INSUMOS!G24</f>
        <v>1.5207142857142857</v>
      </c>
    </row>
    <row r="102" spans="1:4" x14ac:dyDescent="0.3">
      <c r="A102" s="132" t="s">
        <v>25</v>
      </c>
      <c r="B102" s="238" t="s">
        <v>184</v>
      </c>
      <c r="C102" s="239"/>
      <c r="D102" s="118">
        <f>INSUMOS!G36</f>
        <v>31.037499999999998</v>
      </c>
    </row>
    <row r="103" spans="1:4" x14ac:dyDescent="0.3">
      <c r="A103" s="66" t="s">
        <v>27</v>
      </c>
      <c r="B103" s="235" t="s">
        <v>51</v>
      </c>
      <c r="C103" s="236"/>
      <c r="D103" s="41">
        <v>0</v>
      </c>
    </row>
    <row r="104" spans="1:4" x14ac:dyDescent="0.3">
      <c r="A104" s="222" t="s">
        <v>91</v>
      </c>
      <c r="B104" s="224"/>
      <c r="C104" s="223"/>
      <c r="D104" s="22">
        <f>SUM(D100:D103)</f>
        <v>61.995436507936503</v>
      </c>
    </row>
    <row r="105" spans="1:4" x14ac:dyDescent="0.3">
      <c r="A105" s="209"/>
      <c r="B105" s="210"/>
      <c r="C105" s="210"/>
      <c r="D105" s="211"/>
    </row>
    <row r="106" spans="1:4" x14ac:dyDescent="0.3">
      <c r="A106" s="237" t="s">
        <v>92</v>
      </c>
      <c r="B106" s="237"/>
      <c r="C106" s="237"/>
      <c r="D106" s="42">
        <f>D34+D68+D83+D95+D104</f>
        <v>3827.8815859638885</v>
      </c>
    </row>
    <row r="107" spans="1:4" x14ac:dyDescent="0.3">
      <c r="A107" s="218"/>
      <c r="B107" s="218"/>
      <c r="C107" s="218"/>
      <c r="D107" s="218"/>
    </row>
    <row r="108" spans="1:4" x14ac:dyDescent="0.3">
      <c r="A108" s="232" t="s">
        <v>93</v>
      </c>
      <c r="B108" s="232"/>
      <c r="C108" s="232"/>
      <c r="D108" s="232"/>
    </row>
    <row r="109" spans="1:4" x14ac:dyDescent="0.3">
      <c r="A109" s="240"/>
      <c r="B109" s="241"/>
      <c r="C109" s="241"/>
      <c r="D109" s="242"/>
    </row>
    <row r="110" spans="1:4" x14ac:dyDescent="0.3">
      <c r="A110" s="70">
        <v>6</v>
      </c>
      <c r="B110" s="23" t="s">
        <v>94</v>
      </c>
      <c r="C110" s="16" t="s">
        <v>56</v>
      </c>
      <c r="D110" s="16" t="s">
        <v>46</v>
      </c>
    </row>
    <row r="111" spans="1:4" x14ac:dyDescent="0.3">
      <c r="A111" s="66" t="s">
        <v>47</v>
      </c>
      <c r="B111" s="25" t="s">
        <v>95</v>
      </c>
      <c r="C111" s="43">
        <v>8.8900000000000007E-2</v>
      </c>
      <c r="D111" s="44">
        <f>C111*D106</f>
        <v>340.29867299218972</v>
      </c>
    </row>
    <row r="112" spans="1:4" x14ac:dyDescent="0.3">
      <c r="A112" s="243" t="s">
        <v>4</v>
      </c>
      <c r="B112" s="244"/>
      <c r="C112" s="245"/>
      <c r="D112" s="44">
        <f>D106+D111</f>
        <v>4168.1802589560784</v>
      </c>
    </row>
    <row r="113" spans="1:4" x14ac:dyDescent="0.3">
      <c r="A113" s="66" t="s">
        <v>23</v>
      </c>
      <c r="B113" s="25" t="s">
        <v>96</v>
      </c>
      <c r="C113" s="43">
        <v>6.7799999999999999E-2</v>
      </c>
      <c r="D113" s="44">
        <f>C113*D112</f>
        <v>282.60262155722211</v>
      </c>
    </row>
    <row r="114" spans="1:4" x14ac:dyDescent="0.3">
      <c r="A114" s="243" t="s">
        <v>4</v>
      </c>
      <c r="B114" s="244"/>
      <c r="C114" s="244"/>
      <c r="D114" s="44">
        <f>D113+D112</f>
        <v>4450.7828805133004</v>
      </c>
    </row>
    <row r="115" spans="1:4" x14ac:dyDescent="0.3">
      <c r="A115" s="66" t="s">
        <v>25</v>
      </c>
      <c r="B115" s="238" t="s">
        <v>97</v>
      </c>
      <c r="C115" s="246"/>
      <c r="D115" s="239"/>
    </row>
    <row r="116" spans="1:4" x14ac:dyDescent="0.3">
      <c r="A116" s="67"/>
      <c r="B116" s="68" t="s">
        <v>98</v>
      </c>
      <c r="C116" s="45">
        <v>1.6500000000000001E-2</v>
      </c>
      <c r="D116" s="44">
        <f>(D114/(1-C119)*C116)</f>
        <v>85.641886330576639</v>
      </c>
    </row>
    <row r="117" spans="1:4" x14ac:dyDescent="0.3">
      <c r="A117" s="67"/>
      <c r="B117" s="68" t="s">
        <v>99</v>
      </c>
      <c r="C117" s="45">
        <v>7.5999999999999998E-2</v>
      </c>
      <c r="D117" s="44">
        <f>(D114/(1-C119)*C117)</f>
        <v>394.47171885598931</v>
      </c>
    </row>
    <row r="118" spans="1:4" x14ac:dyDescent="0.3">
      <c r="A118" s="67"/>
      <c r="B118" s="68" t="s">
        <v>100</v>
      </c>
      <c r="C118" s="46">
        <v>0.05</v>
      </c>
      <c r="D118" s="44">
        <f>(D114/(1-C119)*C118)</f>
        <v>259.52086766841404</v>
      </c>
    </row>
    <row r="119" spans="1:4" x14ac:dyDescent="0.3">
      <c r="A119" s="209" t="s">
        <v>101</v>
      </c>
      <c r="B119" s="211"/>
      <c r="C119" s="47">
        <f>SUM(C116:C118)</f>
        <v>0.14250000000000002</v>
      </c>
      <c r="D119" s="44">
        <f>SUM(D116:D118)</f>
        <v>739.63447285498</v>
      </c>
    </row>
    <row r="120" spans="1:4" x14ac:dyDescent="0.3">
      <c r="A120" s="222" t="s">
        <v>102</v>
      </c>
      <c r="B120" s="223"/>
      <c r="C120" s="48">
        <f>SUM(C111+C113+C119)</f>
        <v>0.29920000000000002</v>
      </c>
      <c r="D120" s="15">
        <f>SUM(D119+D111+D113)</f>
        <v>1362.5357674043919</v>
      </c>
    </row>
    <row r="121" spans="1:4" x14ac:dyDescent="0.3">
      <c r="A121" s="209"/>
      <c r="B121" s="210"/>
      <c r="C121" s="210"/>
      <c r="D121" s="211"/>
    </row>
    <row r="122" spans="1:4" x14ac:dyDescent="0.3">
      <c r="A122" s="215" t="s">
        <v>103</v>
      </c>
      <c r="B122" s="217"/>
      <c r="C122" s="216"/>
      <c r="D122" s="49" t="s">
        <v>46</v>
      </c>
    </row>
    <row r="123" spans="1:4" x14ac:dyDescent="0.3">
      <c r="A123" s="196" t="s">
        <v>104</v>
      </c>
      <c r="B123" s="247"/>
      <c r="C123" s="247"/>
      <c r="D123" s="197"/>
    </row>
    <row r="124" spans="1:4" x14ac:dyDescent="0.3">
      <c r="A124" s="69" t="s">
        <v>47</v>
      </c>
      <c r="B124" s="196" t="s">
        <v>105</v>
      </c>
      <c r="C124" s="197"/>
      <c r="D124" s="10">
        <f>D34</f>
        <v>1872.86</v>
      </c>
    </row>
    <row r="125" spans="1:4" x14ac:dyDescent="0.3">
      <c r="A125" s="69" t="s">
        <v>23</v>
      </c>
      <c r="B125" s="196" t="s">
        <v>106</v>
      </c>
      <c r="C125" s="197"/>
      <c r="D125" s="10">
        <f>D68</f>
        <v>1526.73281</v>
      </c>
    </row>
    <row r="126" spans="1:4" x14ac:dyDescent="0.3">
      <c r="A126" s="69" t="s">
        <v>25</v>
      </c>
      <c r="B126" s="196" t="s">
        <v>107</v>
      </c>
      <c r="C126" s="197"/>
      <c r="D126" s="10">
        <f>D83</f>
        <v>58.231944923933334</v>
      </c>
    </row>
    <row r="127" spans="1:4" x14ac:dyDescent="0.3">
      <c r="A127" s="69" t="s">
        <v>27</v>
      </c>
      <c r="B127" s="196" t="s">
        <v>108</v>
      </c>
      <c r="C127" s="197"/>
      <c r="D127" s="10">
        <f>D95</f>
        <v>308.06139453201826</v>
      </c>
    </row>
    <row r="128" spans="1:4" x14ac:dyDescent="0.3">
      <c r="A128" s="69" t="s">
        <v>30</v>
      </c>
      <c r="B128" s="196" t="s">
        <v>109</v>
      </c>
      <c r="C128" s="197"/>
      <c r="D128" s="10">
        <f>D104</f>
        <v>61.995436507936503</v>
      </c>
    </row>
    <row r="129" spans="1:4" x14ac:dyDescent="0.3">
      <c r="A129" s="251" t="s">
        <v>110</v>
      </c>
      <c r="B129" s="252"/>
      <c r="C129" s="253"/>
      <c r="D129" s="10">
        <f>SUM(D124:D128)</f>
        <v>3827.8815859638885</v>
      </c>
    </row>
    <row r="130" spans="1:4" x14ac:dyDescent="0.3">
      <c r="A130" s="69" t="s">
        <v>111</v>
      </c>
      <c r="B130" s="196" t="s">
        <v>112</v>
      </c>
      <c r="C130" s="197"/>
      <c r="D130" s="10">
        <f>D120</f>
        <v>1362.5357674043919</v>
      </c>
    </row>
    <row r="131" spans="1:4" x14ac:dyDescent="0.3">
      <c r="A131" s="215" t="s">
        <v>113</v>
      </c>
      <c r="B131" s="217"/>
      <c r="C131" s="216"/>
      <c r="D131" s="22">
        <f xml:space="preserve"> D129+D130</f>
        <v>5190.4173533682806</v>
      </c>
    </row>
    <row r="132" spans="1:4" x14ac:dyDescent="0.3">
      <c r="A132" s="1"/>
      <c r="B132" s="1"/>
      <c r="C132" s="1"/>
      <c r="D132" s="1"/>
    </row>
    <row r="133" spans="1:4" x14ac:dyDescent="0.3">
      <c r="A133" s="254" t="s">
        <v>3</v>
      </c>
      <c r="B133" s="255"/>
      <c r="C133" s="255"/>
      <c r="D133" s="58" t="s">
        <v>2</v>
      </c>
    </row>
    <row r="134" spans="1:4" x14ac:dyDescent="0.3">
      <c r="A134" s="248" t="s">
        <v>18</v>
      </c>
      <c r="B134" s="249"/>
      <c r="C134" s="250"/>
      <c r="D134" s="59">
        <f>D131</f>
        <v>5190.4173533682806</v>
      </c>
    </row>
    <row r="135" spans="1:4" x14ac:dyDescent="0.3">
      <c r="A135" s="63"/>
      <c r="B135" s="64" t="s">
        <v>160</v>
      </c>
      <c r="C135" s="65"/>
      <c r="D135" s="60">
        <v>2</v>
      </c>
    </row>
    <row r="136" spans="1:4" x14ac:dyDescent="0.3">
      <c r="A136" s="248" t="s">
        <v>0</v>
      </c>
      <c r="B136" s="249"/>
      <c r="C136" s="250"/>
      <c r="D136" s="61">
        <f>D135*D134</f>
        <v>10380.834706736561</v>
      </c>
    </row>
    <row r="137" spans="1:4" x14ac:dyDescent="0.3">
      <c r="A137" s="248" t="s">
        <v>130</v>
      </c>
      <c r="B137" s="249"/>
      <c r="C137" s="250"/>
      <c r="D137" s="50">
        <f>D136*24</f>
        <v>249140.03296167747</v>
      </c>
    </row>
    <row r="138" spans="1:4" x14ac:dyDescent="0.3">
      <c r="A138" s="1"/>
      <c r="B138" s="1"/>
      <c r="C138" s="1"/>
      <c r="D138" s="1"/>
    </row>
    <row r="139" spans="1:4" x14ac:dyDescent="0.3">
      <c r="A139" s="1"/>
      <c r="B139" s="1"/>
      <c r="C139" s="1"/>
      <c r="D139" s="1"/>
    </row>
    <row r="140" spans="1:4" x14ac:dyDescent="0.3">
      <c r="A140" s="1"/>
      <c r="B140" s="1"/>
      <c r="C140" s="1"/>
      <c r="D140" s="1"/>
    </row>
    <row r="141" spans="1:4" x14ac:dyDescent="0.3">
      <c r="A141" s="1"/>
      <c r="B141" s="1"/>
      <c r="C141" s="1"/>
      <c r="D141" s="1"/>
    </row>
    <row r="142" spans="1:4" hidden="1" x14ac:dyDescent="0.3">
      <c r="A142" s="1"/>
      <c r="B142" s="1"/>
      <c r="C142" s="1"/>
      <c r="D142" s="1"/>
    </row>
    <row r="143" spans="1:4" hidden="1" x14ac:dyDescent="0.3">
      <c r="A143" s="1"/>
      <c r="B143" s="1"/>
      <c r="C143" s="1"/>
      <c r="D143" s="1"/>
    </row>
    <row r="144" spans="1:4" hidden="1" x14ac:dyDescent="0.3">
      <c r="A144" s="1"/>
      <c r="B144" s="1"/>
      <c r="C144" s="1"/>
      <c r="D144" s="1"/>
    </row>
    <row r="145" spans="1:4" hidden="1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>
      <c r="A148" s="1"/>
      <c r="B148" s="1"/>
      <c r="C148" s="1"/>
      <c r="D148" s="1"/>
    </row>
    <row r="149" spans="1:4" hidden="1" x14ac:dyDescent="0.3"/>
    <row r="150" spans="1:4" hidden="1" x14ac:dyDescent="0.3"/>
    <row r="151" spans="1:4" hidden="1" x14ac:dyDescent="0.3"/>
  </sheetData>
  <mergeCells count="82">
    <mergeCell ref="A134:C134"/>
    <mergeCell ref="A136:C136"/>
    <mergeCell ref="A137:C137"/>
    <mergeCell ref="B127:C127"/>
    <mergeCell ref="B128:C128"/>
    <mergeCell ref="A129:C129"/>
    <mergeCell ref="B130:C130"/>
    <mergeCell ref="A131:C131"/>
    <mergeCell ref="A133:C133"/>
    <mergeCell ref="B126:C126"/>
    <mergeCell ref="A109:D109"/>
    <mergeCell ref="A112:C112"/>
    <mergeCell ref="A114:C114"/>
    <mergeCell ref="B115:D115"/>
    <mergeCell ref="A119:B119"/>
    <mergeCell ref="A120:B120"/>
    <mergeCell ref="A121:D121"/>
    <mergeCell ref="A122:C122"/>
    <mergeCell ref="A123:D123"/>
    <mergeCell ref="B124:C124"/>
    <mergeCell ref="B125:C125"/>
    <mergeCell ref="A108:D108"/>
    <mergeCell ref="A96:D96"/>
    <mergeCell ref="A97:D97"/>
    <mergeCell ref="A98:D98"/>
    <mergeCell ref="B99:C99"/>
    <mergeCell ref="B100:C100"/>
    <mergeCell ref="B101:C101"/>
    <mergeCell ref="B103:C103"/>
    <mergeCell ref="A104:C104"/>
    <mergeCell ref="A105:D105"/>
    <mergeCell ref="A106:C106"/>
    <mergeCell ref="A107:D107"/>
    <mergeCell ref="B102:C102"/>
    <mergeCell ref="A95:B95"/>
    <mergeCell ref="A62:C62"/>
    <mergeCell ref="A63:D63"/>
    <mergeCell ref="A64:B64"/>
    <mergeCell ref="A68:C68"/>
    <mergeCell ref="A69:D69"/>
    <mergeCell ref="A70:D70"/>
    <mergeCell ref="A71:B71"/>
    <mergeCell ref="A84:D84"/>
    <mergeCell ref="A85:D85"/>
    <mergeCell ref="A86:D86"/>
    <mergeCell ref="A83:B83"/>
    <mergeCell ref="A53:D53"/>
    <mergeCell ref="A23:D23"/>
    <mergeCell ref="A24:D24"/>
    <mergeCell ref="A25:D25"/>
    <mergeCell ref="B26:C26"/>
    <mergeCell ref="A34:C34"/>
    <mergeCell ref="A35:D35"/>
    <mergeCell ref="A36:D36"/>
    <mergeCell ref="A37:D37"/>
    <mergeCell ref="A41:B41"/>
    <mergeCell ref="A42:D42"/>
    <mergeCell ref="A52:B52"/>
    <mergeCell ref="B22:C22"/>
    <mergeCell ref="C11:D11"/>
    <mergeCell ref="C12:D12"/>
    <mergeCell ref="A13:D13"/>
    <mergeCell ref="A14:D14"/>
    <mergeCell ref="A15:D15"/>
    <mergeCell ref="C16:D16"/>
    <mergeCell ref="C17:D17"/>
    <mergeCell ref="C18:D18"/>
    <mergeCell ref="A19:D19"/>
    <mergeCell ref="B20:C20"/>
    <mergeCell ref="B21:C21"/>
    <mergeCell ref="C10:D10"/>
    <mergeCell ref="A1:D1"/>
    <mergeCell ref="A2:B2"/>
    <mergeCell ref="C2:D2"/>
    <mergeCell ref="A3:B3"/>
    <mergeCell ref="C3:D3"/>
    <mergeCell ref="A4:D4"/>
    <mergeCell ref="A5:D5"/>
    <mergeCell ref="C6:D6"/>
    <mergeCell ref="C7:D7"/>
    <mergeCell ref="C8:D8"/>
    <mergeCell ref="C9:D9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A1:WVO153"/>
  <sheetViews>
    <sheetView zoomScale="80" zoomScaleNormal="80" workbookViewId="0">
      <selection activeCell="B34" sqref="B34"/>
    </sheetView>
  </sheetViews>
  <sheetFormatPr defaultColWidth="0" defaultRowHeight="15.75" zeroHeight="1" x14ac:dyDescent="0.3"/>
  <cols>
    <col min="1" max="1" width="18.7109375" style="2" customWidth="1"/>
    <col min="2" max="2" width="72" style="2" customWidth="1"/>
    <col min="3" max="3" width="22.85546875" style="2" customWidth="1"/>
    <col min="4" max="4" width="29.85546875" style="2" customWidth="1"/>
    <col min="5" max="6" width="9.140625" style="1" customWidth="1"/>
    <col min="7" max="7" width="15.42578125" style="1" customWidth="1"/>
    <col min="8" max="12" width="9.140625" style="1" customWidth="1"/>
    <col min="13" max="256" width="9.140625" style="2" hidden="1"/>
    <col min="257" max="257" width="18.7109375" style="2" hidden="1" customWidth="1"/>
    <col min="258" max="258" width="72" style="2" hidden="1" customWidth="1"/>
    <col min="259" max="259" width="22.85546875" style="2" hidden="1" customWidth="1"/>
    <col min="260" max="260" width="29.85546875" style="2" hidden="1" customWidth="1"/>
    <col min="261" max="262" width="9.140625" style="2" hidden="1" customWidth="1"/>
    <col min="263" max="263" width="15.42578125" style="2" hidden="1" customWidth="1"/>
    <col min="264" max="268" width="9.140625" style="2" hidden="1" customWidth="1"/>
    <col min="269" max="512" width="9.140625" style="2" hidden="1"/>
    <col min="513" max="513" width="18.7109375" style="2" hidden="1" customWidth="1"/>
    <col min="514" max="514" width="72" style="2" hidden="1" customWidth="1"/>
    <col min="515" max="515" width="22.85546875" style="2" hidden="1" customWidth="1"/>
    <col min="516" max="516" width="29.85546875" style="2" hidden="1" customWidth="1"/>
    <col min="517" max="518" width="9.140625" style="2" hidden="1" customWidth="1"/>
    <col min="519" max="519" width="15.42578125" style="2" hidden="1" customWidth="1"/>
    <col min="520" max="524" width="9.140625" style="2" hidden="1" customWidth="1"/>
    <col min="525" max="768" width="9.140625" style="2" hidden="1"/>
    <col min="769" max="769" width="18.7109375" style="2" hidden="1" customWidth="1"/>
    <col min="770" max="770" width="72" style="2" hidden="1" customWidth="1"/>
    <col min="771" max="771" width="22.85546875" style="2" hidden="1" customWidth="1"/>
    <col min="772" max="772" width="29.85546875" style="2" hidden="1" customWidth="1"/>
    <col min="773" max="774" width="9.140625" style="2" hidden="1" customWidth="1"/>
    <col min="775" max="775" width="15.42578125" style="2" hidden="1" customWidth="1"/>
    <col min="776" max="780" width="9.140625" style="2" hidden="1" customWidth="1"/>
    <col min="781" max="1024" width="9.140625" style="2" hidden="1"/>
    <col min="1025" max="1025" width="18.7109375" style="2" hidden="1" customWidth="1"/>
    <col min="1026" max="1026" width="72" style="2" hidden="1" customWidth="1"/>
    <col min="1027" max="1027" width="22.85546875" style="2" hidden="1" customWidth="1"/>
    <col min="1028" max="1028" width="29.85546875" style="2" hidden="1" customWidth="1"/>
    <col min="1029" max="1030" width="9.140625" style="2" hidden="1" customWidth="1"/>
    <col min="1031" max="1031" width="15.42578125" style="2" hidden="1" customWidth="1"/>
    <col min="1032" max="1036" width="9.140625" style="2" hidden="1" customWidth="1"/>
    <col min="1037" max="1280" width="9.140625" style="2" hidden="1"/>
    <col min="1281" max="1281" width="18.7109375" style="2" hidden="1" customWidth="1"/>
    <col min="1282" max="1282" width="72" style="2" hidden="1" customWidth="1"/>
    <col min="1283" max="1283" width="22.85546875" style="2" hidden="1" customWidth="1"/>
    <col min="1284" max="1284" width="29.85546875" style="2" hidden="1" customWidth="1"/>
    <col min="1285" max="1286" width="9.140625" style="2" hidden="1" customWidth="1"/>
    <col min="1287" max="1287" width="15.42578125" style="2" hidden="1" customWidth="1"/>
    <col min="1288" max="1292" width="9.140625" style="2" hidden="1" customWidth="1"/>
    <col min="1293" max="1536" width="9.140625" style="2" hidden="1"/>
    <col min="1537" max="1537" width="18.7109375" style="2" hidden="1" customWidth="1"/>
    <col min="1538" max="1538" width="72" style="2" hidden="1" customWidth="1"/>
    <col min="1539" max="1539" width="22.85546875" style="2" hidden="1" customWidth="1"/>
    <col min="1540" max="1540" width="29.85546875" style="2" hidden="1" customWidth="1"/>
    <col min="1541" max="1542" width="9.140625" style="2" hidden="1" customWidth="1"/>
    <col min="1543" max="1543" width="15.42578125" style="2" hidden="1" customWidth="1"/>
    <col min="1544" max="1548" width="9.140625" style="2" hidden="1" customWidth="1"/>
    <col min="1549" max="1792" width="9.140625" style="2" hidden="1"/>
    <col min="1793" max="1793" width="18.7109375" style="2" hidden="1" customWidth="1"/>
    <col min="1794" max="1794" width="72" style="2" hidden="1" customWidth="1"/>
    <col min="1795" max="1795" width="22.85546875" style="2" hidden="1" customWidth="1"/>
    <col min="1796" max="1796" width="29.85546875" style="2" hidden="1" customWidth="1"/>
    <col min="1797" max="1798" width="9.140625" style="2" hidden="1" customWidth="1"/>
    <col min="1799" max="1799" width="15.42578125" style="2" hidden="1" customWidth="1"/>
    <col min="1800" max="1804" width="9.140625" style="2" hidden="1" customWidth="1"/>
    <col min="1805" max="2048" width="9.140625" style="2" hidden="1"/>
    <col min="2049" max="2049" width="18.7109375" style="2" hidden="1" customWidth="1"/>
    <col min="2050" max="2050" width="72" style="2" hidden="1" customWidth="1"/>
    <col min="2051" max="2051" width="22.85546875" style="2" hidden="1" customWidth="1"/>
    <col min="2052" max="2052" width="29.85546875" style="2" hidden="1" customWidth="1"/>
    <col min="2053" max="2054" width="9.140625" style="2" hidden="1" customWidth="1"/>
    <col min="2055" max="2055" width="15.42578125" style="2" hidden="1" customWidth="1"/>
    <col min="2056" max="2060" width="9.140625" style="2" hidden="1" customWidth="1"/>
    <col min="2061" max="2304" width="9.140625" style="2" hidden="1"/>
    <col min="2305" max="2305" width="18.7109375" style="2" hidden="1" customWidth="1"/>
    <col min="2306" max="2306" width="72" style="2" hidden="1" customWidth="1"/>
    <col min="2307" max="2307" width="22.85546875" style="2" hidden="1" customWidth="1"/>
    <col min="2308" max="2308" width="29.85546875" style="2" hidden="1" customWidth="1"/>
    <col min="2309" max="2310" width="9.140625" style="2" hidden="1" customWidth="1"/>
    <col min="2311" max="2311" width="15.42578125" style="2" hidden="1" customWidth="1"/>
    <col min="2312" max="2316" width="9.140625" style="2" hidden="1" customWidth="1"/>
    <col min="2317" max="2560" width="9.140625" style="2" hidden="1"/>
    <col min="2561" max="2561" width="18.7109375" style="2" hidden="1" customWidth="1"/>
    <col min="2562" max="2562" width="72" style="2" hidden="1" customWidth="1"/>
    <col min="2563" max="2563" width="22.85546875" style="2" hidden="1" customWidth="1"/>
    <col min="2564" max="2564" width="29.85546875" style="2" hidden="1" customWidth="1"/>
    <col min="2565" max="2566" width="9.140625" style="2" hidden="1" customWidth="1"/>
    <col min="2567" max="2567" width="15.42578125" style="2" hidden="1" customWidth="1"/>
    <col min="2568" max="2572" width="9.140625" style="2" hidden="1" customWidth="1"/>
    <col min="2573" max="2816" width="9.140625" style="2" hidden="1"/>
    <col min="2817" max="2817" width="18.7109375" style="2" hidden="1" customWidth="1"/>
    <col min="2818" max="2818" width="72" style="2" hidden="1" customWidth="1"/>
    <col min="2819" max="2819" width="22.85546875" style="2" hidden="1" customWidth="1"/>
    <col min="2820" max="2820" width="29.85546875" style="2" hidden="1" customWidth="1"/>
    <col min="2821" max="2822" width="9.140625" style="2" hidden="1" customWidth="1"/>
    <col min="2823" max="2823" width="15.42578125" style="2" hidden="1" customWidth="1"/>
    <col min="2824" max="2828" width="9.140625" style="2" hidden="1" customWidth="1"/>
    <col min="2829" max="3072" width="9.140625" style="2" hidden="1"/>
    <col min="3073" max="3073" width="18.7109375" style="2" hidden="1" customWidth="1"/>
    <col min="3074" max="3074" width="72" style="2" hidden="1" customWidth="1"/>
    <col min="3075" max="3075" width="22.85546875" style="2" hidden="1" customWidth="1"/>
    <col min="3076" max="3076" width="29.85546875" style="2" hidden="1" customWidth="1"/>
    <col min="3077" max="3078" width="9.140625" style="2" hidden="1" customWidth="1"/>
    <col min="3079" max="3079" width="15.42578125" style="2" hidden="1" customWidth="1"/>
    <col min="3080" max="3084" width="9.140625" style="2" hidden="1" customWidth="1"/>
    <col min="3085" max="3328" width="9.140625" style="2" hidden="1"/>
    <col min="3329" max="3329" width="18.7109375" style="2" hidden="1" customWidth="1"/>
    <col min="3330" max="3330" width="72" style="2" hidden="1" customWidth="1"/>
    <col min="3331" max="3331" width="22.85546875" style="2" hidden="1" customWidth="1"/>
    <col min="3332" max="3332" width="29.85546875" style="2" hidden="1" customWidth="1"/>
    <col min="3333" max="3334" width="9.140625" style="2" hidden="1" customWidth="1"/>
    <col min="3335" max="3335" width="15.42578125" style="2" hidden="1" customWidth="1"/>
    <col min="3336" max="3340" width="9.140625" style="2" hidden="1" customWidth="1"/>
    <col min="3341" max="3584" width="9.140625" style="2" hidden="1"/>
    <col min="3585" max="3585" width="18.7109375" style="2" hidden="1" customWidth="1"/>
    <col min="3586" max="3586" width="72" style="2" hidden="1" customWidth="1"/>
    <col min="3587" max="3587" width="22.85546875" style="2" hidden="1" customWidth="1"/>
    <col min="3588" max="3588" width="29.85546875" style="2" hidden="1" customWidth="1"/>
    <col min="3589" max="3590" width="9.140625" style="2" hidden="1" customWidth="1"/>
    <col min="3591" max="3591" width="15.42578125" style="2" hidden="1" customWidth="1"/>
    <col min="3592" max="3596" width="9.140625" style="2" hidden="1" customWidth="1"/>
    <col min="3597" max="3840" width="9.140625" style="2" hidden="1"/>
    <col min="3841" max="3841" width="18.7109375" style="2" hidden="1" customWidth="1"/>
    <col min="3842" max="3842" width="72" style="2" hidden="1" customWidth="1"/>
    <col min="3843" max="3843" width="22.85546875" style="2" hidden="1" customWidth="1"/>
    <col min="3844" max="3844" width="29.85546875" style="2" hidden="1" customWidth="1"/>
    <col min="3845" max="3846" width="9.140625" style="2" hidden="1" customWidth="1"/>
    <col min="3847" max="3847" width="15.42578125" style="2" hidden="1" customWidth="1"/>
    <col min="3848" max="3852" width="9.140625" style="2" hidden="1" customWidth="1"/>
    <col min="3853" max="4096" width="9.140625" style="2" hidden="1"/>
    <col min="4097" max="4097" width="18.7109375" style="2" hidden="1" customWidth="1"/>
    <col min="4098" max="4098" width="72" style="2" hidden="1" customWidth="1"/>
    <col min="4099" max="4099" width="22.85546875" style="2" hidden="1" customWidth="1"/>
    <col min="4100" max="4100" width="29.85546875" style="2" hidden="1" customWidth="1"/>
    <col min="4101" max="4102" width="9.140625" style="2" hidden="1" customWidth="1"/>
    <col min="4103" max="4103" width="15.42578125" style="2" hidden="1" customWidth="1"/>
    <col min="4104" max="4108" width="9.140625" style="2" hidden="1" customWidth="1"/>
    <col min="4109" max="4352" width="9.140625" style="2" hidden="1"/>
    <col min="4353" max="4353" width="18.7109375" style="2" hidden="1" customWidth="1"/>
    <col min="4354" max="4354" width="72" style="2" hidden="1" customWidth="1"/>
    <col min="4355" max="4355" width="22.85546875" style="2" hidden="1" customWidth="1"/>
    <col min="4356" max="4356" width="29.85546875" style="2" hidden="1" customWidth="1"/>
    <col min="4357" max="4358" width="9.140625" style="2" hidden="1" customWidth="1"/>
    <col min="4359" max="4359" width="15.42578125" style="2" hidden="1" customWidth="1"/>
    <col min="4360" max="4364" width="9.140625" style="2" hidden="1" customWidth="1"/>
    <col min="4365" max="4608" width="9.140625" style="2" hidden="1"/>
    <col min="4609" max="4609" width="18.7109375" style="2" hidden="1" customWidth="1"/>
    <col min="4610" max="4610" width="72" style="2" hidden="1" customWidth="1"/>
    <col min="4611" max="4611" width="22.85546875" style="2" hidden="1" customWidth="1"/>
    <col min="4612" max="4612" width="29.85546875" style="2" hidden="1" customWidth="1"/>
    <col min="4613" max="4614" width="9.140625" style="2" hidden="1" customWidth="1"/>
    <col min="4615" max="4615" width="15.42578125" style="2" hidden="1" customWidth="1"/>
    <col min="4616" max="4620" width="9.140625" style="2" hidden="1" customWidth="1"/>
    <col min="4621" max="4864" width="9.140625" style="2" hidden="1"/>
    <col min="4865" max="4865" width="18.7109375" style="2" hidden="1" customWidth="1"/>
    <col min="4866" max="4866" width="72" style="2" hidden="1" customWidth="1"/>
    <col min="4867" max="4867" width="22.85546875" style="2" hidden="1" customWidth="1"/>
    <col min="4868" max="4868" width="29.85546875" style="2" hidden="1" customWidth="1"/>
    <col min="4869" max="4870" width="9.140625" style="2" hidden="1" customWidth="1"/>
    <col min="4871" max="4871" width="15.42578125" style="2" hidden="1" customWidth="1"/>
    <col min="4872" max="4876" width="9.140625" style="2" hidden="1" customWidth="1"/>
    <col min="4877" max="5120" width="9.140625" style="2" hidden="1"/>
    <col min="5121" max="5121" width="18.7109375" style="2" hidden="1" customWidth="1"/>
    <col min="5122" max="5122" width="72" style="2" hidden="1" customWidth="1"/>
    <col min="5123" max="5123" width="22.85546875" style="2" hidden="1" customWidth="1"/>
    <col min="5124" max="5124" width="29.85546875" style="2" hidden="1" customWidth="1"/>
    <col min="5125" max="5126" width="9.140625" style="2" hidden="1" customWidth="1"/>
    <col min="5127" max="5127" width="15.42578125" style="2" hidden="1" customWidth="1"/>
    <col min="5128" max="5132" width="9.140625" style="2" hidden="1" customWidth="1"/>
    <col min="5133" max="5376" width="9.140625" style="2" hidden="1"/>
    <col min="5377" max="5377" width="18.7109375" style="2" hidden="1" customWidth="1"/>
    <col min="5378" max="5378" width="72" style="2" hidden="1" customWidth="1"/>
    <col min="5379" max="5379" width="22.85546875" style="2" hidden="1" customWidth="1"/>
    <col min="5380" max="5380" width="29.85546875" style="2" hidden="1" customWidth="1"/>
    <col min="5381" max="5382" width="9.140625" style="2" hidden="1" customWidth="1"/>
    <col min="5383" max="5383" width="15.42578125" style="2" hidden="1" customWidth="1"/>
    <col min="5384" max="5388" width="9.140625" style="2" hidden="1" customWidth="1"/>
    <col min="5389" max="5632" width="9.140625" style="2" hidden="1"/>
    <col min="5633" max="5633" width="18.7109375" style="2" hidden="1" customWidth="1"/>
    <col min="5634" max="5634" width="72" style="2" hidden="1" customWidth="1"/>
    <col min="5635" max="5635" width="22.85546875" style="2" hidden="1" customWidth="1"/>
    <col min="5636" max="5636" width="29.85546875" style="2" hidden="1" customWidth="1"/>
    <col min="5637" max="5638" width="9.140625" style="2" hidden="1" customWidth="1"/>
    <col min="5639" max="5639" width="15.42578125" style="2" hidden="1" customWidth="1"/>
    <col min="5640" max="5644" width="9.140625" style="2" hidden="1" customWidth="1"/>
    <col min="5645" max="5888" width="9.140625" style="2" hidden="1"/>
    <col min="5889" max="5889" width="18.7109375" style="2" hidden="1" customWidth="1"/>
    <col min="5890" max="5890" width="72" style="2" hidden="1" customWidth="1"/>
    <col min="5891" max="5891" width="22.85546875" style="2" hidden="1" customWidth="1"/>
    <col min="5892" max="5892" width="29.85546875" style="2" hidden="1" customWidth="1"/>
    <col min="5893" max="5894" width="9.140625" style="2" hidden="1" customWidth="1"/>
    <col min="5895" max="5895" width="15.42578125" style="2" hidden="1" customWidth="1"/>
    <col min="5896" max="5900" width="9.140625" style="2" hidden="1" customWidth="1"/>
    <col min="5901" max="6144" width="9.140625" style="2" hidden="1"/>
    <col min="6145" max="6145" width="18.7109375" style="2" hidden="1" customWidth="1"/>
    <col min="6146" max="6146" width="72" style="2" hidden="1" customWidth="1"/>
    <col min="6147" max="6147" width="22.85546875" style="2" hidden="1" customWidth="1"/>
    <col min="6148" max="6148" width="29.85546875" style="2" hidden="1" customWidth="1"/>
    <col min="6149" max="6150" width="9.140625" style="2" hidden="1" customWidth="1"/>
    <col min="6151" max="6151" width="15.42578125" style="2" hidden="1" customWidth="1"/>
    <col min="6152" max="6156" width="9.140625" style="2" hidden="1" customWidth="1"/>
    <col min="6157" max="6400" width="9.140625" style="2" hidden="1"/>
    <col min="6401" max="6401" width="18.7109375" style="2" hidden="1" customWidth="1"/>
    <col min="6402" max="6402" width="72" style="2" hidden="1" customWidth="1"/>
    <col min="6403" max="6403" width="22.85546875" style="2" hidden="1" customWidth="1"/>
    <col min="6404" max="6404" width="29.85546875" style="2" hidden="1" customWidth="1"/>
    <col min="6405" max="6406" width="9.140625" style="2" hidden="1" customWidth="1"/>
    <col min="6407" max="6407" width="15.42578125" style="2" hidden="1" customWidth="1"/>
    <col min="6408" max="6412" width="9.140625" style="2" hidden="1" customWidth="1"/>
    <col min="6413" max="6656" width="9.140625" style="2" hidden="1"/>
    <col min="6657" max="6657" width="18.7109375" style="2" hidden="1" customWidth="1"/>
    <col min="6658" max="6658" width="72" style="2" hidden="1" customWidth="1"/>
    <col min="6659" max="6659" width="22.85546875" style="2" hidden="1" customWidth="1"/>
    <col min="6660" max="6660" width="29.85546875" style="2" hidden="1" customWidth="1"/>
    <col min="6661" max="6662" width="9.140625" style="2" hidden="1" customWidth="1"/>
    <col min="6663" max="6663" width="15.42578125" style="2" hidden="1" customWidth="1"/>
    <col min="6664" max="6668" width="9.140625" style="2" hidden="1" customWidth="1"/>
    <col min="6669" max="6912" width="9.140625" style="2" hidden="1"/>
    <col min="6913" max="6913" width="18.7109375" style="2" hidden="1" customWidth="1"/>
    <col min="6914" max="6914" width="72" style="2" hidden="1" customWidth="1"/>
    <col min="6915" max="6915" width="22.85546875" style="2" hidden="1" customWidth="1"/>
    <col min="6916" max="6916" width="29.85546875" style="2" hidden="1" customWidth="1"/>
    <col min="6917" max="6918" width="9.140625" style="2" hidden="1" customWidth="1"/>
    <col min="6919" max="6919" width="15.42578125" style="2" hidden="1" customWidth="1"/>
    <col min="6920" max="6924" width="9.140625" style="2" hidden="1" customWidth="1"/>
    <col min="6925" max="7168" width="9.140625" style="2" hidden="1"/>
    <col min="7169" max="7169" width="18.7109375" style="2" hidden="1" customWidth="1"/>
    <col min="7170" max="7170" width="72" style="2" hidden="1" customWidth="1"/>
    <col min="7171" max="7171" width="22.85546875" style="2" hidden="1" customWidth="1"/>
    <col min="7172" max="7172" width="29.85546875" style="2" hidden="1" customWidth="1"/>
    <col min="7173" max="7174" width="9.140625" style="2" hidden="1" customWidth="1"/>
    <col min="7175" max="7175" width="15.42578125" style="2" hidden="1" customWidth="1"/>
    <col min="7176" max="7180" width="9.140625" style="2" hidden="1" customWidth="1"/>
    <col min="7181" max="7424" width="9.140625" style="2" hidden="1"/>
    <col min="7425" max="7425" width="18.7109375" style="2" hidden="1" customWidth="1"/>
    <col min="7426" max="7426" width="72" style="2" hidden="1" customWidth="1"/>
    <col min="7427" max="7427" width="22.85546875" style="2" hidden="1" customWidth="1"/>
    <col min="7428" max="7428" width="29.85546875" style="2" hidden="1" customWidth="1"/>
    <col min="7429" max="7430" width="9.140625" style="2" hidden="1" customWidth="1"/>
    <col min="7431" max="7431" width="15.42578125" style="2" hidden="1" customWidth="1"/>
    <col min="7432" max="7436" width="9.140625" style="2" hidden="1" customWidth="1"/>
    <col min="7437" max="7680" width="9.140625" style="2" hidden="1"/>
    <col min="7681" max="7681" width="18.7109375" style="2" hidden="1" customWidth="1"/>
    <col min="7682" max="7682" width="72" style="2" hidden="1" customWidth="1"/>
    <col min="7683" max="7683" width="22.85546875" style="2" hidden="1" customWidth="1"/>
    <col min="7684" max="7684" width="29.85546875" style="2" hidden="1" customWidth="1"/>
    <col min="7685" max="7686" width="9.140625" style="2" hidden="1" customWidth="1"/>
    <col min="7687" max="7687" width="15.42578125" style="2" hidden="1" customWidth="1"/>
    <col min="7688" max="7692" width="9.140625" style="2" hidden="1" customWidth="1"/>
    <col min="7693" max="7936" width="9.140625" style="2" hidden="1"/>
    <col min="7937" max="7937" width="18.7109375" style="2" hidden="1" customWidth="1"/>
    <col min="7938" max="7938" width="72" style="2" hidden="1" customWidth="1"/>
    <col min="7939" max="7939" width="22.85546875" style="2" hidden="1" customWidth="1"/>
    <col min="7940" max="7940" width="29.85546875" style="2" hidden="1" customWidth="1"/>
    <col min="7941" max="7942" width="9.140625" style="2" hidden="1" customWidth="1"/>
    <col min="7943" max="7943" width="15.42578125" style="2" hidden="1" customWidth="1"/>
    <col min="7944" max="7948" width="9.140625" style="2" hidden="1" customWidth="1"/>
    <col min="7949" max="8192" width="9.140625" style="2" hidden="1"/>
    <col min="8193" max="8193" width="18.7109375" style="2" hidden="1" customWidth="1"/>
    <col min="8194" max="8194" width="72" style="2" hidden="1" customWidth="1"/>
    <col min="8195" max="8195" width="22.85546875" style="2" hidden="1" customWidth="1"/>
    <col min="8196" max="8196" width="29.85546875" style="2" hidden="1" customWidth="1"/>
    <col min="8197" max="8198" width="9.140625" style="2" hidden="1" customWidth="1"/>
    <col min="8199" max="8199" width="15.42578125" style="2" hidden="1" customWidth="1"/>
    <col min="8200" max="8204" width="9.140625" style="2" hidden="1" customWidth="1"/>
    <col min="8205" max="8448" width="9.140625" style="2" hidden="1"/>
    <col min="8449" max="8449" width="18.7109375" style="2" hidden="1" customWidth="1"/>
    <col min="8450" max="8450" width="72" style="2" hidden="1" customWidth="1"/>
    <col min="8451" max="8451" width="22.85546875" style="2" hidden="1" customWidth="1"/>
    <col min="8452" max="8452" width="29.85546875" style="2" hidden="1" customWidth="1"/>
    <col min="8453" max="8454" width="9.140625" style="2" hidden="1" customWidth="1"/>
    <col min="8455" max="8455" width="15.42578125" style="2" hidden="1" customWidth="1"/>
    <col min="8456" max="8460" width="9.140625" style="2" hidden="1" customWidth="1"/>
    <col min="8461" max="8704" width="9.140625" style="2" hidden="1"/>
    <col min="8705" max="8705" width="18.7109375" style="2" hidden="1" customWidth="1"/>
    <col min="8706" max="8706" width="72" style="2" hidden="1" customWidth="1"/>
    <col min="8707" max="8707" width="22.85546875" style="2" hidden="1" customWidth="1"/>
    <col min="8708" max="8708" width="29.85546875" style="2" hidden="1" customWidth="1"/>
    <col min="8709" max="8710" width="9.140625" style="2" hidden="1" customWidth="1"/>
    <col min="8711" max="8711" width="15.42578125" style="2" hidden="1" customWidth="1"/>
    <col min="8712" max="8716" width="9.140625" style="2" hidden="1" customWidth="1"/>
    <col min="8717" max="8960" width="9.140625" style="2" hidden="1"/>
    <col min="8961" max="8961" width="18.7109375" style="2" hidden="1" customWidth="1"/>
    <col min="8962" max="8962" width="72" style="2" hidden="1" customWidth="1"/>
    <col min="8963" max="8963" width="22.85546875" style="2" hidden="1" customWidth="1"/>
    <col min="8964" max="8964" width="29.85546875" style="2" hidden="1" customWidth="1"/>
    <col min="8965" max="8966" width="9.140625" style="2" hidden="1" customWidth="1"/>
    <col min="8967" max="8967" width="15.42578125" style="2" hidden="1" customWidth="1"/>
    <col min="8968" max="8972" width="9.140625" style="2" hidden="1" customWidth="1"/>
    <col min="8973" max="9216" width="9.140625" style="2" hidden="1"/>
    <col min="9217" max="9217" width="18.7109375" style="2" hidden="1" customWidth="1"/>
    <col min="9218" max="9218" width="72" style="2" hidden="1" customWidth="1"/>
    <col min="9219" max="9219" width="22.85546875" style="2" hidden="1" customWidth="1"/>
    <col min="9220" max="9220" width="29.85546875" style="2" hidden="1" customWidth="1"/>
    <col min="9221" max="9222" width="9.140625" style="2" hidden="1" customWidth="1"/>
    <col min="9223" max="9223" width="15.42578125" style="2" hidden="1" customWidth="1"/>
    <col min="9224" max="9228" width="9.140625" style="2" hidden="1" customWidth="1"/>
    <col min="9229" max="9472" width="9.140625" style="2" hidden="1"/>
    <col min="9473" max="9473" width="18.7109375" style="2" hidden="1" customWidth="1"/>
    <col min="9474" max="9474" width="72" style="2" hidden="1" customWidth="1"/>
    <col min="9475" max="9475" width="22.85546875" style="2" hidden="1" customWidth="1"/>
    <col min="9476" max="9476" width="29.85546875" style="2" hidden="1" customWidth="1"/>
    <col min="9477" max="9478" width="9.140625" style="2" hidden="1" customWidth="1"/>
    <col min="9479" max="9479" width="15.42578125" style="2" hidden="1" customWidth="1"/>
    <col min="9480" max="9484" width="9.140625" style="2" hidden="1" customWidth="1"/>
    <col min="9485" max="9728" width="9.140625" style="2" hidden="1"/>
    <col min="9729" max="9729" width="18.7109375" style="2" hidden="1" customWidth="1"/>
    <col min="9730" max="9730" width="72" style="2" hidden="1" customWidth="1"/>
    <col min="9731" max="9731" width="22.85546875" style="2" hidden="1" customWidth="1"/>
    <col min="9732" max="9732" width="29.85546875" style="2" hidden="1" customWidth="1"/>
    <col min="9733" max="9734" width="9.140625" style="2" hidden="1" customWidth="1"/>
    <col min="9735" max="9735" width="15.42578125" style="2" hidden="1" customWidth="1"/>
    <col min="9736" max="9740" width="9.140625" style="2" hidden="1" customWidth="1"/>
    <col min="9741" max="9984" width="9.140625" style="2" hidden="1"/>
    <col min="9985" max="9985" width="18.7109375" style="2" hidden="1" customWidth="1"/>
    <col min="9986" max="9986" width="72" style="2" hidden="1" customWidth="1"/>
    <col min="9987" max="9987" width="22.85546875" style="2" hidden="1" customWidth="1"/>
    <col min="9988" max="9988" width="29.85546875" style="2" hidden="1" customWidth="1"/>
    <col min="9989" max="9990" width="9.140625" style="2" hidden="1" customWidth="1"/>
    <col min="9991" max="9991" width="15.42578125" style="2" hidden="1" customWidth="1"/>
    <col min="9992" max="9996" width="9.140625" style="2" hidden="1" customWidth="1"/>
    <col min="9997" max="10240" width="9.140625" style="2" hidden="1"/>
    <col min="10241" max="10241" width="18.7109375" style="2" hidden="1" customWidth="1"/>
    <col min="10242" max="10242" width="72" style="2" hidden="1" customWidth="1"/>
    <col min="10243" max="10243" width="22.85546875" style="2" hidden="1" customWidth="1"/>
    <col min="10244" max="10244" width="29.85546875" style="2" hidden="1" customWidth="1"/>
    <col min="10245" max="10246" width="9.140625" style="2" hidden="1" customWidth="1"/>
    <col min="10247" max="10247" width="15.42578125" style="2" hidden="1" customWidth="1"/>
    <col min="10248" max="10252" width="9.140625" style="2" hidden="1" customWidth="1"/>
    <col min="10253" max="10496" width="9.140625" style="2" hidden="1"/>
    <col min="10497" max="10497" width="18.7109375" style="2" hidden="1" customWidth="1"/>
    <col min="10498" max="10498" width="72" style="2" hidden="1" customWidth="1"/>
    <col min="10499" max="10499" width="22.85546875" style="2" hidden="1" customWidth="1"/>
    <col min="10500" max="10500" width="29.85546875" style="2" hidden="1" customWidth="1"/>
    <col min="10501" max="10502" width="9.140625" style="2" hidden="1" customWidth="1"/>
    <col min="10503" max="10503" width="15.42578125" style="2" hidden="1" customWidth="1"/>
    <col min="10504" max="10508" width="9.140625" style="2" hidden="1" customWidth="1"/>
    <col min="10509" max="10752" width="9.140625" style="2" hidden="1"/>
    <col min="10753" max="10753" width="18.7109375" style="2" hidden="1" customWidth="1"/>
    <col min="10754" max="10754" width="72" style="2" hidden="1" customWidth="1"/>
    <col min="10755" max="10755" width="22.85546875" style="2" hidden="1" customWidth="1"/>
    <col min="10756" max="10756" width="29.85546875" style="2" hidden="1" customWidth="1"/>
    <col min="10757" max="10758" width="9.140625" style="2" hidden="1" customWidth="1"/>
    <col min="10759" max="10759" width="15.42578125" style="2" hidden="1" customWidth="1"/>
    <col min="10760" max="10764" width="9.140625" style="2" hidden="1" customWidth="1"/>
    <col min="10765" max="11008" width="9.140625" style="2" hidden="1"/>
    <col min="11009" max="11009" width="18.7109375" style="2" hidden="1" customWidth="1"/>
    <col min="11010" max="11010" width="72" style="2" hidden="1" customWidth="1"/>
    <col min="11011" max="11011" width="22.85546875" style="2" hidden="1" customWidth="1"/>
    <col min="11012" max="11012" width="29.85546875" style="2" hidden="1" customWidth="1"/>
    <col min="11013" max="11014" width="9.140625" style="2" hidden="1" customWidth="1"/>
    <col min="11015" max="11015" width="15.42578125" style="2" hidden="1" customWidth="1"/>
    <col min="11016" max="11020" width="9.140625" style="2" hidden="1" customWidth="1"/>
    <col min="11021" max="11264" width="9.140625" style="2" hidden="1"/>
    <col min="11265" max="11265" width="18.7109375" style="2" hidden="1" customWidth="1"/>
    <col min="11266" max="11266" width="72" style="2" hidden="1" customWidth="1"/>
    <col min="11267" max="11267" width="22.85546875" style="2" hidden="1" customWidth="1"/>
    <col min="11268" max="11268" width="29.85546875" style="2" hidden="1" customWidth="1"/>
    <col min="11269" max="11270" width="9.140625" style="2" hidden="1" customWidth="1"/>
    <col min="11271" max="11271" width="15.42578125" style="2" hidden="1" customWidth="1"/>
    <col min="11272" max="11276" width="9.140625" style="2" hidden="1" customWidth="1"/>
    <col min="11277" max="11520" width="9.140625" style="2" hidden="1"/>
    <col min="11521" max="11521" width="18.7109375" style="2" hidden="1" customWidth="1"/>
    <col min="11522" max="11522" width="72" style="2" hidden="1" customWidth="1"/>
    <col min="11523" max="11523" width="22.85546875" style="2" hidden="1" customWidth="1"/>
    <col min="11524" max="11524" width="29.85546875" style="2" hidden="1" customWidth="1"/>
    <col min="11525" max="11526" width="9.140625" style="2" hidden="1" customWidth="1"/>
    <col min="11527" max="11527" width="15.42578125" style="2" hidden="1" customWidth="1"/>
    <col min="11528" max="11532" width="9.140625" style="2" hidden="1" customWidth="1"/>
    <col min="11533" max="11776" width="9.140625" style="2" hidden="1"/>
    <col min="11777" max="11777" width="18.7109375" style="2" hidden="1" customWidth="1"/>
    <col min="11778" max="11778" width="72" style="2" hidden="1" customWidth="1"/>
    <col min="11779" max="11779" width="22.85546875" style="2" hidden="1" customWidth="1"/>
    <col min="11780" max="11780" width="29.85546875" style="2" hidden="1" customWidth="1"/>
    <col min="11781" max="11782" width="9.140625" style="2" hidden="1" customWidth="1"/>
    <col min="11783" max="11783" width="15.42578125" style="2" hidden="1" customWidth="1"/>
    <col min="11784" max="11788" width="9.140625" style="2" hidden="1" customWidth="1"/>
    <col min="11789" max="12032" width="9.140625" style="2" hidden="1"/>
    <col min="12033" max="12033" width="18.7109375" style="2" hidden="1" customWidth="1"/>
    <col min="12034" max="12034" width="72" style="2" hidden="1" customWidth="1"/>
    <col min="12035" max="12035" width="22.85546875" style="2" hidden="1" customWidth="1"/>
    <col min="12036" max="12036" width="29.85546875" style="2" hidden="1" customWidth="1"/>
    <col min="12037" max="12038" width="9.140625" style="2" hidden="1" customWidth="1"/>
    <col min="12039" max="12039" width="15.42578125" style="2" hidden="1" customWidth="1"/>
    <col min="12040" max="12044" width="9.140625" style="2" hidden="1" customWidth="1"/>
    <col min="12045" max="12288" width="9.140625" style="2" hidden="1"/>
    <col min="12289" max="12289" width="18.7109375" style="2" hidden="1" customWidth="1"/>
    <col min="12290" max="12290" width="72" style="2" hidden="1" customWidth="1"/>
    <col min="12291" max="12291" width="22.85546875" style="2" hidden="1" customWidth="1"/>
    <col min="12292" max="12292" width="29.85546875" style="2" hidden="1" customWidth="1"/>
    <col min="12293" max="12294" width="9.140625" style="2" hidden="1" customWidth="1"/>
    <col min="12295" max="12295" width="15.42578125" style="2" hidden="1" customWidth="1"/>
    <col min="12296" max="12300" width="9.140625" style="2" hidden="1" customWidth="1"/>
    <col min="12301" max="12544" width="9.140625" style="2" hidden="1"/>
    <col min="12545" max="12545" width="18.7109375" style="2" hidden="1" customWidth="1"/>
    <col min="12546" max="12546" width="72" style="2" hidden="1" customWidth="1"/>
    <col min="12547" max="12547" width="22.85546875" style="2" hidden="1" customWidth="1"/>
    <col min="12548" max="12548" width="29.85546875" style="2" hidden="1" customWidth="1"/>
    <col min="12549" max="12550" width="9.140625" style="2" hidden="1" customWidth="1"/>
    <col min="12551" max="12551" width="15.42578125" style="2" hidden="1" customWidth="1"/>
    <col min="12552" max="12556" width="9.140625" style="2" hidden="1" customWidth="1"/>
    <col min="12557" max="12800" width="9.140625" style="2" hidden="1"/>
    <col min="12801" max="12801" width="18.7109375" style="2" hidden="1" customWidth="1"/>
    <col min="12802" max="12802" width="72" style="2" hidden="1" customWidth="1"/>
    <col min="12803" max="12803" width="22.85546875" style="2" hidden="1" customWidth="1"/>
    <col min="12804" max="12804" width="29.85546875" style="2" hidden="1" customWidth="1"/>
    <col min="12805" max="12806" width="9.140625" style="2" hidden="1" customWidth="1"/>
    <col min="12807" max="12807" width="15.42578125" style="2" hidden="1" customWidth="1"/>
    <col min="12808" max="12812" width="9.140625" style="2" hidden="1" customWidth="1"/>
    <col min="12813" max="13056" width="9.140625" style="2" hidden="1"/>
    <col min="13057" max="13057" width="18.7109375" style="2" hidden="1" customWidth="1"/>
    <col min="13058" max="13058" width="72" style="2" hidden="1" customWidth="1"/>
    <col min="13059" max="13059" width="22.85546875" style="2" hidden="1" customWidth="1"/>
    <col min="13060" max="13060" width="29.85546875" style="2" hidden="1" customWidth="1"/>
    <col min="13061" max="13062" width="9.140625" style="2" hidden="1" customWidth="1"/>
    <col min="13063" max="13063" width="15.42578125" style="2" hidden="1" customWidth="1"/>
    <col min="13064" max="13068" width="9.140625" style="2" hidden="1" customWidth="1"/>
    <col min="13069" max="13312" width="9.140625" style="2" hidden="1"/>
    <col min="13313" max="13313" width="18.7109375" style="2" hidden="1" customWidth="1"/>
    <col min="13314" max="13314" width="72" style="2" hidden="1" customWidth="1"/>
    <col min="13315" max="13315" width="22.85546875" style="2" hidden="1" customWidth="1"/>
    <col min="13316" max="13316" width="29.85546875" style="2" hidden="1" customWidth="1"/>
    <col min="13317" max="13318" width="9.140625" style="2" hidden="1" customWidth="1"/>
    <col min="13319" max="13319" width="15.42578125" style="2" hidden="1" customWidth="1"/>
    <col min="13320" max="13324" width="9.140625" style="2" hidden="1" customWidth="1"/>
    <col min="13325" max="13568" width="9.140625" style="2" hidden="1"/>
    <col min="13569" max="13569" width="18.7109375" style="2" hidden="1" customWidth="1"/>
    <col min="13570" max="13570" width="72" style="2" hidden="1" customWidth="1"/>
    <col min="13571" max="13571" width="22.85546875" style="2" hidden="1" customWidth="1"/>
    <col min="13572" max="13572" width="29.85546875" style="2" hidden="1" customWidth="1"/>
    <col min="13573" max="13574" width="9.140625" style="2" hidden="1" customWidth="1"/>
    <col min="13575" max="13575" width="15.42578125" style="2" hidden="1" customWidth="1"/>
    <col min="13576" max="13580" width="9.140625" style="2" hidden="1" customWidth="1"/>
    <col min="13581" max="13824" width="9.140625" style="2" hidden="1"/>
    <col min="13825" max="13825" width="18.7109375" style="2" hidden="1" customWidth="1"/>
    <col min="13826" max="13826" width="72" style="2" hidden="1" customWidth="1"/>
    <col min="13827" max="13827" width="22.85546875" style="2" hidden="1" customWidth="1"/>
    <col min="13828" max="13828" width="29.85546875" style="2" hidden="1" customWidth="1"/>
    <col min="13829" max="13830" width="9.140625" style="2" hidden="1" customWidth="1"/>
    <col min="13831" max="13831" width="15.42578125" style="2" hidden="1" customWidth="1"/>
    <col min="13832" max="13836" width="9.140625" style="2" hidden="1" customWidth="1"/>
    <col min="13837" max="14080" width="9.140625" style="2" hidden="1"/>
    <col min="14081" max="14081" width="18.7109375" style="2" hidden="1" customWidth="1"/>
    <col min="14082" max="14082" width="72" style="2" hidden="1" customWidth="1"/>
    <col min="14083" max="14083" width="22.85546875" style="2" hidden="1" customWidth="1"/>
    <col min="14084" max="14084" width="29.85546875" style="2" hidden="1" customWidth="1"/>
    <col min="14085" max="14086" width="9.140625" style="2" hidden="1" customWidth="1"/>
    <col min="14087" max="14087" width="15.42578125" style="2" hidden="1" customWidth="1"/>
    <col min="14088" max="14092" width="9.140625" style="2" hidden="1" customWidth="1"/>
    <col min="14093" max="14336" width="9.140625" style="2" hidden="1"/>
    <col min="14337" max="14337" width="18.7109375" style="2" hidden="1" customWidth="1"/>
    <col min="14338" max="14338" width="72" style="2" hidden="1" customWidth="1"/>
    <col min="14339" max="14339" width="22.85546875" style="2" hidden="1" customWidth="1"/>
    <col min="14340" max="14340" width="29.85546875" style="2" hidden="1" customWidth="1"/>
    <col min="14341" max="14342" width="9.140625" style="2" hidden="1" customWidth="1"/>
    <col min="14343" max="14343" width="15.42578125" style="2" hidden="1" customWidth="1"/>
    <col min="14344" max="14348" width="9.140625" style="2" hidden="1" customWidth="1"/>
    <col min="14349" max="14592" width="9.140625" style="2" hidden="1"/>
    <col min="14593" max="14593" width="18.7109375" style="2" hidden="1" customWidth="1"/>
    <col min="14594" max="14594" width="72" style="2" hidden="1" customWidth="1"/>
    <col min="14595" max="14595" width="22.85546875" style="2" hidden="1" customWidth="1"/>
    <col min="14596" max="14596" width="29.85546875" style="2" hidden="1" customWidth="1"/>
    <col min="14597" max="14598" width="9.140625" style="2" hidden="1" customWidth="1"/>
    <col min="14599" max="14599" width="15.42578125" style="2" hidden="1" customWidth="1"/>
    <col min="14600" max="14604" width="9.140625" style="2" hidden="1" customWidth="1"/>
    <col min="14605" max="14848" width="9.140625" style="2" hidden="1"/>
    <col min="14849" max="14849" width="18.7109375" style="2" hidden="1" customWidth="1"/>
    <col min="14850" max="14850" width="72" style="2" hidden="1" customWidth="1"/>
    <col min="14851" max="14851" width="22.85546875" style="2" hidden="1" customWidth="1"/>
    <col min="14852" max="14852" width="29.85546875" style="2" hidden="1" customWidth="1"/>
    <col min="14853" max="14854" width="9.140625" style="2" hidden="1" customWidth="1"/>
    <col min="14855" max="14855" width="15.42578125" style="2" hidden="1" customWidth="1"/>
    <col min="14856" max="14860" width="9.140625" style="2" hidden="1" customWidth="1"/>
    <col min="14861" max="15104" width="9.140625" style="2" hidden="1"/>
    <col min="15105" max="15105" width="18.7109375" style="2" hidden="1" customWidth="1"/>
    <col min="15106" max="15106" width="72" style="2" hidden="1" customWidth="1"/>
    <col min="15107" max="15107" width="22.85546875" style="2" hidden="1" customWidth="1"/>
    <col min="15108" max="15108" width="29.85546875" style="2" hidden="1" customWidth="1"/>
    <col min="15109" max="15110" width="9.140625" style="2" hidden="1" customWidth="1"/>
    <col min="15111" max="15111" width="15.42578125" style="2" hidden="1" customWidth="1"/>
    <col min="15112" max="15116" width="9.140625" style="2" hidden="1" customWidth="1"/>
    <col min="15117" max="15360" width="9.140625" style="2" hidden="1"/>
    <col min="15361" max="15361" width="18.7109375" style="2" hidden="1" customWidth="1"/>
    <col min="15362" max="15362" width="72" style="2" hidden="1" customWidth="1"/>
    <col min="15363" max="15363" width="22.85546875" style="2" hidden="1" customWidth="1"/>
    <col min="15364" max="15364" width="29.85546875" style="2" hidden="1" customWidth="1"/>
    <col min="15365" max="15366" width="9.140625" style="2" hidden="1" customWidth="1"/>
    <col min="15367" max="15367" width="15.42578125" style="2" hidden="1" customWidth="1"/>
    <col min="15368" max="15372" width="9.140625" style="2" hidden="1" customWidth="1"/>
    <col min="15373" max="15616" width="9.140625" style="2" hidden="1"/>
    <col min="15617" max="15617" width="18.7109375" style="2" hidden="1" customWidth="1"/>
    <col min="15618" max="15618" width="72" style="2" hidden="1" customWidth="1"/>
    <col min="15619" max="15619" width="22.85546875" style="2" hidden="1" customWidth="1"/>
    <col min="15620" max="15620" width="29.85546875" style="2" hidden="1" customWidth="1"/>
    <col min="15621" max="15622" width="9.140625" style="2" hidden="1" customWidth="1"/>
    <col min="15623" max="15623" width="15.42578125" style="2" hidden="1" customWidth="1"/>
    <col min="15624" max="15628" width="9.140625" style="2" hidden="1" customWidth="1"/>
    <col min="15629" max="15872" width="9.140625" style="2" hidden="1"/>
    <col min="15873" max="15873" width="18.7109375" style="2" hidden="1" customWidth="1"/>
    <col min="15874" max="15874" width="72" style="2" hidden="1" customWidth="1"/>
    <col min="15875" max="15875" width="22.85546875" style="2" hidden="1" customWidth="1"/>
    <col min="15876" max="15876" width="29.85546875" style="2" hidden="1" customWidth="1"/>
    <col min="15877" max="15878" width="9.140625" style="2" hidden="1" customWidth="1"/>
    <col min="15879" max="15879" width="15.42578125" style="2" hidden="1" customWidth="1"/>
    <col min="15880" max="15884" width="9.140625" style="2" hidden="1" customWidth="1"/>
    <col min="15885" max="16128" width="9.140625" style="2" hidden="1"/>
    <col min="16129" max="16129" width="18.7109375" style="2" hidden="1" customWidth="1"/>
    <col min="16130" max="16130" width="72" style="2" hidden="1" customWidth="1"/>
    <col min="16131" max="16131" width="22.85546875" style="2" hidden="1" customWidth="1"/>
    <col min="16132" max="16132" width="29.85546875" style="2" hidden="1" customWidth="1"/>
    <col min="16133" max="16134" width="9.140625" style="2" hidden="1" customWidth="1"/>
    <col min="16135" max="16135" width="15.42578125" style="2" hidden="1" customWidth="1"/>
    <col min="16136" max="16140" width="9.140625" style="2" hidden="1" customWidth="1"/>
    <col min="16141" max="16384" width="9.140625" style="2" hidden="1"/>
  </cols>
  <sheetData>
    <row r="1" spans="1:4" x14ac:dyDescent="0.3">
      <c r="A1" s="186" t="s">
        <v>9</v>
      </c>
      <c r="B1" s="186"/>
      <c r="C1" s="186"/>
      <c r="D1" s="186"/>
    </row>
    <row r="2" spans="1:4" x14ac:dyDescent="0.3">
      <c r="A2" s="187" t="s">
        <v>19</v>
      </c>
      <c r="B2" s="187"/>
      <c r="C2" s="188" t="s">
        <v>17</v>
      </c>
      <c r="D2" s="189"/>
    </row>
    <row r="3" spans="1:4" x14ac:dyDescent="0.3">
      <c r="A3" s="187" t="s">
        <v>20</v>
      </c>
      <c r="B3" s="187"/>
      <c r="C3" s="188" t="s">
        <v>114</v>
      </c>
      <c r="D3" s="189"/>
    </row>
    <row r="4" spans="1:4" x14ac:dyDescent="0.3">
      <c r="A4" s="190"/>
      <c r="B4" s="190"/>
      <c r="C4" s="190"/>
      <c r="D4" s="190"/>
    </row>
    <row r="5" spans="1:4" x14ac:dyDescent="0.3">
      <c r="A5" s="190" t="s">
        <v>21</v>
      </c>
      <c r="B5" s="190"/>
      <c r="C5" s="190"/>
      <c r="D5" s="190"/>
    </row>
    <row r="6" spans="1:4" x14ac:dyDescent="0.3">
      <c r="A6" s="73" t="s">
        <v>22</v>
      </c>
      <c r="B6" s="74" t="s">
        <v>8</v>
      </c>
      <c r="C6" s="191" t="s">
        <v>115</v>
      </c>
      <c r="D6" s="192"/>
    </row>
    <row r="7" spans="1:4" x14ac:dyDescent="0.3">
      <c r="A7" s="73" t="s">
        <v>23</v>
      </c>
      <c r="B7" s="74" t="s">
        <v>7</v>
      </c>
      <c r="C7" s="193" t="s">
        <v>24</v>
      </c>
      <c r="D7" s="193"/>
    </row>
    <row r="8" spans="1:4" x14ac:dyDescent="0.3">
      <c r="A8" s="3" t="s">
        <v>25</v>
      </c>
      <c r="B8" s="4" t="s">
        <v>26</v>
      </c>
      <c r="C8" s="194"/>
      <c r="D8" s="195"/>
    </row>
    <row r="9" spans="1:4" x14ac:dyDescent="0.3">
      <c r="A9" s="73" t="s">
        <v>27</v>
      </c>
      <c r="B9" s="74" t="s">
        <v>28</v>
      </c>
      <c r="C9" s="184" t="s">
        <v>29</v>
      </c>
      <c r="D9" s="185"/>
    </row>
    <row r="10" spans="1:4" x14ac:dyDescent="0.3">
      <c r="A10" s="73" t="s">
        <v>30</v>
      </c>
      <c r="B10" s="74" t="s">
        <v>31</v>
      </c>
      <c r="C10" s="184" t="s">
        <v>32</v>
      </c>
      <c r="D10" s="185"/>
    </row>
    <row r="11" spans="1:4" x14ac:dyDescent="0.3">
      <c r="A11" s="73" t="s">
        <v>33</v>
      </c>
      <c r="B11" s="74" t="s">
        <v>34</v>
      </c>
      <c r="C11" s="198">
        <f>Proposta!E5</f>
        <v>2</v>
      </c>
      <c r="D11" s="199"/>
    </row>
    <row r="12" spans="1:4" x14ac:dyDescent="0.3">
      <c r="A12" s="73" t="s">
        <v>35</v>
      </c>
      <c r="B12" s="74" t="s">
        <v>36</v>
      </c>
      <c r="C12" s="200">
        <v>24</v>
      </c>
      <c r="D12" s="201"/>
    </row>
    <row r="13" spans="1:4" x14ac:dyDescent="0.3">
      <c r="A13" s="202"/>
      <c r="B13" s="203"/>
      <c r="C13" s="203"/>
      <c r="D13" s="203"/>
    </row>
    <row r="14" spans="1:4" x14ac:dyDescent="0.3">
      <c r="A14" s="204" t="s">
        <v>37</v>
      </c>
      <c r="B14" s="205"/>
      <c r="C14" s="205"/>
      <c r="D14" s="206"/>
    </row>
    <row r="15" spans="1:4" x14ac:dyDescent="0.3">
      <c r="A15" s="193" t="s">
        <v>38</v>
      </c>
      <c r="B15" s="193"/>
      <c r="C15" s="193"/>
      <c r="D15" s="193"/>
    </row>
    <row r="16" spans="1:4" x14ac:dyDescent="0.3">
      <c r="A16" s="73">
        <v>1</v>
      </c>
      <c r="B16" s="74" t="s">
        <v>39</v>
      </c>
      <c r="C16" s="184" t="s">
        <v>1</v>
      </c>
      <c r="D16" s="185" t="s">
        <v>1</v>
      </c>
    </row>
    <row r="17" spans="1:4" x14ac:dyDescent="0.3">
      <c r="A17" s="73"/>
      <c r="B17" s="51" t="s">
        <v>116</v>
      </c>
      <c r="C17" s="184">
        <f>C11</f>
        <v>2</v>
      </c>
      <c r="D17" s="185">
        <v>1</v>
      </c>
    </row>
    <row r="18" spans="1:4" x14ac:dyDescent="0.3">
      <c r="A18" s="73">
        <v>2</v>
      </c>
      <c r="B18" s="5" t="s">
        <v>40</v>
      </c>
      <c r="C18" s="207" t="s">
        <v>41</v>
      </c>
      <c r="D18" s="208"/>
    </row>
    <row r="19" spans="1:4" x14ac:dyDescent="0.3">
      <c r="A19" s="193" t="s">
        <v>42</v>
      </c>
      <c r="B19" s="193"/>
      <c r="C19" s="193"/>
      <c r="D19" s="193"/>
    </row>
    <row r="20" spans="1:4" x14ac:dyDescent="0.3">
      <c r="A20" s="73">
        <v>3</v>
      </c>
      <c r="B20" s="196" t="s">
        <v>6</v>
      </c>
      <c r="C20" s="197"/>
      <c r="D20" s="6">
        <v>1702.6</v>
      </c>
    </row>
    <row r="21" spans="1:4" x14ac:dyDescent="0.3">
      <c r="A21" s="73">
        <v>4</v>
      </c>
      <c r="B21" s="196" t="s">
        <v>43</v>
      </c>
      <c r="C21" s="197"/>
      <c r="D21" s="7" t="s">
        <v>117</v>
      </c>
    </row>
    <row r="22" spans="1:4" x14ac:dyDescent="0.3">
      <c r="A22" s="73">
        <v>5</v>
      </c>
      <c r="B22" s="196" t="s">
        <v>5</v>
      </c>
      <c r="C22" s="197"/>
      <c r="D22" s="8">
        <v>44197</v>
      </c>
    </row>
    <row r="23" spans="1:4" x14ac:dyDescent="0.3">
      <c r="A23" s="184"/>
      <c r="B23" s="212"/>
      <c r="C23" s="212"/>
      <c r="D23" s="185"/>
    </row>
    <row r="24" spans="1:4" x14ac:dyDescent="0.3">
      <c r="A24" s="213" t="s">
        <v>44</v>
      </c>
      <c r="B24" s="213"/>
      <c r="C24" s="213"/>
      <c r="D24" s="213"/>
    </row>
    <row r="25" spans="1:4" x14ac:dyDescent="0.3">
      <c r="A25" s="200"/>
      <c r="B25" s="214"/>
      <c r="C25" s="214"/>
      <c r="D25" s="201"/>
    </row>
    <row r="26" spans="1:4" x14ac:dyDescent="0.3">
      <c r="A26" s="72">
        <v>1</v>
      </c>
      <c r="B26" s="215" t="s">
        <v>45</v>
      </c>
      <c r="C26" s="216"/>
      <c r="D26" s="72" t="s">
        <v>46</v>
      </c>
    </row>
    <row r="27" spans="1:4" x14ac:dyDescent="0.3">
      <c r="A27" s="73" t="s">
        <v>47</v>
      </c>
      <c r="B27" s="74" t="s">
        <v>48</v>
      </c>
      <c r="C27" s="9">
        <v>220</v>
      </c>
      <c r="D27" s="10">
        <f>D20/220*C27</f>
        <v>1702.6</v>
      </c>
    </row>
    <row r="28" spans="1:4" x14ac:dyDescent="0.3">
      <c r="A28" s="73" t="s">
        <v>23</v>
      </c>
      <c r="B28" s="74" t="s">
        <v>49</v>
      </c>
      <c r="C28" s="11">
        <v>0.1</v>
      </c>
      <c r="D28" s="10">
        <f>C28*D27</f>
        <v>170.26</v>
      </c>
    </row>
    <row r="29" spans="1:4" x14ac:dyDescent="0.3">
      <c r="A29" s="73" t="s">
        <v>25</v>
      </c>
      <c r="B29" s="74" t="s">
        <v>50</v>
      </c>
      <c r="C29" s="11">
        <v>0</v>
      </c>
      <c r="D29" s="10">
        <f>C29*D27</f>
        <v>0</v>
      </c>
    </row>
    <row r="30" spans="1:4" x14ac:dyDescent="0.3">
      <c r="A30" s="73" t="s">
        <v>27</v>
      </c>
      <c r="B30" s="74" t="s">
        <v>165</v>
      </c>
      <c r="C30" s="123">
        <v>0</v>
      </c>
      <c r="D30" s="12">
        <f>((D20/C27)+(D20/C27/2))*C30</f>
        <v>0</v>
      </c>
    </row>
    <row r="31" spans="1:4" x14ac:dyDescent="0.3">
      <c r="A31" s="73" t="s">
        <v>30</v>
      </c>
      <c r="B31" s="74" t="s">
        <v>166</v>
      </c>
      <c r="C31" s="11">
        <v>0</v>
      </c>
      <c r="D31" s="12">
        <f>C31*D30</f>
        <v>0</v>
      </c>
    </row>
    <row r="32" spans="1:4" x14ac:dyDescent="0.3">
      <c r="A32" s="73" t="s">
        <v>33</v>
      </c>
      <c r="B32" s="51" t="s">
        <v>169</v>
      </c>
      <c r="C32" s="128">
        <v>15</v>
      </c>
      <c r="D32" s="129">
        <f>((D20/220*20%)*7)*C32</f>
        <v>162.5209090909091</v>
      </c>
    </row>
    <row r="33" spans="1:4" x14ac:dyDescent="0.3">
      <c r="A33" s="73" t="s">
        <v>35</v>
      </c>
      <c r="B33" s="51" t="s">
        <v>170</v>
      </c>
      <c r="C33" s="128">
        <v>0</v>
      </c>
      <c r="D33" s="129">
        <f>((D20/220*20%)*2)*C33</f>
        <v>0</v>
      </c>
    </row>
    <row r="34" spans="1:4" x14ac:dyDescent="0.3">
      <c r="A34" s="73" t="s">
        <v>67</v>
      </c>
      <c r="B34" s="127" t="s">
        <v>175</v>
      </c>
      <c r="C34" s="128">
        <v>15</v>
      </c>
      <c r="D34" s="129">
        <f>((D20/220)+(D20/220*20%))*C34</f>
        <v>139.30363636363634</v>
      </c>
    </row>
    <row r="35" spans="1:4" x14ac:dyDescent="0.3">
      <c r="A35" s="73" t="s">
        <v>172</v>
      </c>
      <c r="B35" s="124" t="s">
        <v>171</v>
      </c>
      <c r="C35" s="123">
        <v>0</v>
      </c>
      <c r="D35" s="12">
        <f>(D32/24)*C35</f>
        <v>0</v>
      </c>
    </row>
    <row r="36" spans="1:4" x14ac:dyDescent="0.3">
      <c r="A36" s="73" t="s">
        <v>173</v>
      </c>
      <c r="B36" s="74" t="s">
        <v>167</v>
      </c>
      <c r="C36" s="123">
        <v>0</v>
      </c>
      <c r="D36" s="12">
        <f>(D20/C27)*C36</f>
        <v>0</v>
      </c>
    </row>
    <row r="37" spans="1:4" x14ac:dyDescent="0.3">
      <c r="A37" s="73" t="s">
        <v>174</v>
      </c>
      <c r="B37" s="13" t="s">
        <v>51</v>
      </c>
      <c r="C37" s="14">
        <v>0</v>
      </c>
      <c r="D37" s="12">
        <v>0</v>
      </c>
    </row>
    <row r="38" spans="1:4" x14ac:dyDescent="0.3">
      <c r="A38" s="215" t="s">
        <v>52</v>
      </c>
      <c r="B38" s="217"/>
      <c r="C38" s="216"/>
      <c r="D38" s="15">
        <f>SUM(D27:D37)</f>
        <v>2174.6845454545455</v>
      </c>
    </row>
    <row r="39" spans="1:4" x14ac:dyDescent="0.3">
      <c r="A39" s="218"/>
      <c r="B39" s="218"/>
      <c r="C39" s="218"/>
      <c r="D39" s="218"/>
    </row>
    <row r="40" spans="1:4" x14ac:dyDescent="0.3">
      <c r="A40" s="219" t="s">
        <v>53</v>
      </c>
      <c r="B40" s="220"/>
      <c r="C40" s="220"/>
      <c r="D40" s="221"/>
    </row>
    <row r="41" spans="1:4" x14ac:dyDescent="0.3">
      <c r="A41" s="209"/>
      <c r="B41" s="210"/>
      <c r="C41" s="210"/>
      <c r="D41" s="211"/>
    </row>
    <row r="42" spans="1:4" x14ac:dyDescent="0.3">
      <c r="A42" s="16" t="s">
        <v>54</v>
      </c>
      <c r="B42" s="17" t="s">
        <v>55</v>
      </c>
      <c r="C42" s="16" t="s">
        <v>56</v>
      </c>
      <c r="D42" s="16" t="s">
        <v>46</v>
      </c>
    </row>
    <row r="43" spans="1:4" x14ac:dyDescent="0.3">
      <c r="A43" s="18" t="s">
        <v>47</v>
      </c>
      <c r="B43" s="19" t="s">
        <v>57</v>
      </c>
      <c r="C43" s="20">
        <f>1/12</f>
        <v>8.3333333333333329E-2</v>
      </c>
      <c r="D43" s="10">
        <f>C43*D38</f>
        <v>181.22371212121212</v>
      </c>
    </row>
    <row r="44" spans="1:4" x14ac:dyDescent="0.3">
      <c r="A44" s="18" t="s">
        <v>23</v>
      </c>
      <c r="B44" s="19" t="s">
        <v>58</v>
      </c>
      <c r="C44" s="20">
        <f>(C43*1/3)</f>
        <v>2.7777777777777776E-2</v>
      </c>
      <c r="D44" s="10">
        <f>C44*D38</f>
        <v>60.407904040404041</v>
      </c>
    </row>
    <row r="45" spans="1:4" x14ac:dyDescent="0.3">
      <c r="A45" s="222" t="s">
        <v>15</v>
      </c>
      <c r="B45" s="223"/>
      <c r="C45" s="21">
        <f>SUM(C43:C44)</f>
        <v>0.1111111111111111</v>
      </c>
      <c r="D45" s="22">
        <f>SUM(D43:D44)</f>
        <v>241.63161616161617</v>
      </c>
    </row>
    <row r="46" spans="1:4" x14ac:dyDescent="0.3">
      <c r="A46" s="209"/>
      <c r="B46" s="210"/>
      <c r="C46" s="210"/>
      <c r="D46" s="211"/>
    </row>
    <row r="47" spans="1:4" x14ac:dyDescent="0.3">
      <c r="A47" s="16" t="s">
        <v>59</v>
      </c>
      <c r="B47" s="23" t="s">
        <v>60</v>
      </c>
      <c r="C47" s="16" t="s">
        <v>56</v>
      </c>
      <c r="D47" s="24" t="s">
        <v>46</v>
      </c>
    </row>
    <row r="48" spans="1:4" x14ac:dyDescent="0.3">
      <c r="A48" s="76" t="s">
        <v>47</v>
      </c>
      <c r="B48" s="25" t="s">
        <v>61</v>
      </c>
      <c r="C48" s="26">
        <v>0.2</v>
      </c>
      <c r="D48" s="10">
        <f t="shared" ref="D48:D55" si="0">C48*($D$38+$D$45)</f>
        <v>483.26323232323233</v>
      </c>
    </row>
    <row r="49" spans="1:4" x14ac:dyDescent="0.3">
      <c r="A49" s="76" t="s">
        <v>23</v>
      </c>
      <c r="B49" s="25" t="s">
        <v>62</v>
      </c>
      <c r="C49" s="26">
        <v>2.5000000000000001E-2</v>
      </c>
      <c r="D49" s="10">
        <f t="shared" si="0"/>
        <v>60.407904040404041</v>
      </c>
    </row>
    <row r="50" spans="1:4" x14ac:dyDescent="0.3">
      <c r="A50" s="76" t="s">
        <v>25</v>
      </c>
      <c r="B50" s="25" t="s">
        <v>168</v>
      </c>
      <c r="C50" s="27">
        <v>0.03</v>
      </c>
      <c r="D50" s="10">
        <f t="shared" si="0"/>
        <v>72.489484848484835</v>
      </c>
    </row>
    <row r="51" spans="1:4" x14ac:dyDescent="0.3">
      <c r="A51" s="76" t="s">
        <v>27</v>
      </c>
      <c r="B51" s="25" t="s">
        <v>63</v>
      </c>
      <c r="C51" s="26">
        <v>1.4999999999999999E-2</v>
      </c>
      <c r="D51" s="10">
        <f t="shared" si="0"/>
        <v>36.244742424242418</v>
      </c>
    </row>
    <row r="52" spans="1:4" x14ac:dyDescent="0.3">
      <c r="A52" s="76" t="s">
        <v>30</v>
      </c>
      <c r="B52" s="25" t="s">
        <v>64</v>
      </c>
      <c r="C52" s="26">
        <v>0.01</v>
      </c>
      <c r="D52" s="10">
        <f t="shared" si="0"/>
        <v>24.163161616161617</v>
      </c>
    </row>
    <row r="53" spans="1:4" x14ac:dyDescent="0.3">
      <c r="A53" s="76" t="s">
        <v>33</v>
      </c>
      <c r="B53" s="25" t="s">
        <v>65</v>
      </c>
      <c r="C53" s="26">
        <v>6.0000000000000001E-3</v>
      </c>
      <c r="D53" s="10">
        <f t="shared" si="0"/>
        <v>14.497896969696969</v>
      </c>
    </row>
    <row r="54" spans="1:4" x14ac:dyDescent="0.3">
      <c r="A54" s="76" t="s">
        <v>35</v>
      </c>
      <c r="B54" s="25" t="s">
        <v>66</v>
      </c>
      <c r="C54" s="26">
        <v>2E-3</v>
      </c>
      <c r="D54" s="10">
        <f t="shared" si="0"/>
        <v>4.8326323232323229</v>
      </c>
    </row>
    <row r="55" spans="1:4" x14ac:dyDescent="0.3">
      <c r="A55" s="76" t="s">
        <v>67</v>
      </c>
      <c r="B55" s="25" t="s">
        <v>68</v>
      </c>
      <c r="C55" s="26">
        <v>0.08</v>
      </c>
      <c r="D55" s="10">
        <f t="shared" si="0"/>
        <v>193.30529292929293</v>
      </c>
    </row>
    <row r="56" spans="1:4" x14ac:dyDescent="0.3">
      <c r="A56" s="222" t="s">
        <v>15</v>
      </c>
      <c r="B56" s="223"/>
      <c r="C56" s="28">
        <f>SUM(C48:C55)</f>
        <v>0.36800000000000005</v>
      </c>
      <c r="D56" s="29">
        <f>SUM(D48:D55)</f>
        <v>889.20434747474746</v>
      </c>
    </row>
    <row r="57" spans="1:4" x14ac:dyDescent="0.3">
      <c r="A57" s="209"/>
      <c r="B57" s="210"/>
      <c r="C57" s="210"/>
      <c r="D57" s="211"/>
    </row>
    <row r="58" spans="1:4" x14ac:dyDescent="0.3">
      <c r="A58" s="16" t="s">
        <v>69</v>
      </c>
      <c r="B58" s="23" t="s">
        <v>70</v>
      </c>
      <c r="C58" s="16" t="s">
        <v>71</v>
      </c>
      <c r="D58" s="16" t="s">
        <v>46</v>
      </c>
    </row>
    <row r="59" spans="1:4" x14ac:dyDescent="0.3">
      <c r="A59" s="76" t="s">
        <v>47</v>
      </c>
      <c r="B59" s="25" t="s">
        <v>72</v>
      </c>
      <c r="C59" s="30">
        <v>4.18</v>
      </c>
      <c r="D59" s="31">
        <f>(15*2*C59)-(D27*6%)</f>
        <v>23.244</v>
      </c>
    </row>
    <row r="60" spans="1:4" x14ac:dyDescent="0.3">
      <c r="A60" s="76" t="s">
        <v>23</v>
      </c>
      <c r="B60" s="25" t="s">
        <v>73</v>
      </c>
      <c r="C60" s="32">
        <v>16.55</v>
      </c>
      <c r="D60" s="31">
        <f>(C60*15)*0.99</f>
        <v>245.76749999999998</v>
      </c>
    </row>
    <row r="61" spans="1:4" x14ac:dyDescent="0.3">
      <c r="A61" s="76" t="s">
        <v>118</v>
      </c>
      <c r="B61" s="25" t="s">
        <v>119</v>
      </c>
      <c r="C61" s="52">
        <v>-0.01</v>
      </c>
      <c r="D61" s="31">
        <f>C61*D60</f>
        <v>-2.4576750000000001</v>
      </c>
    </row>
    <row r="62" spans="1:4" x14ac:dyDescent="0.3">
      <c r="A62" s="76" t="s">
        <v>25</v>
      </c>
      <c r="B62" s="25" t="s">
        <v>120</v>
      </c>
      <c r="C62" s="52">
        <v>0.01</v>
      </c>
      <c r="D62" s="31">
        <f>C62*D38</f>
        <v>21.746845454545454</v>
      </c>
    </row>
    <row r="63" spans="1:4" x14ac:dyDescent="0.3">
      <c r="A63" s="76" t="s">
        <v>27</v>
      </c>
      <c r="B63" s="25" t="s">
        <v>121</v>
      </c>
      <c r="C63" s="53">
        <v>6.0000000000000001E-3</v>
      </c>
      <c r="D63" s="31">
        <f>C63*D27</f>
        <v>10.2156</v>
      </c>
    </row>
    <row r="64" spans="1:4" x14ac:dyDescent="0.3">
      <c r="A64" s="76" t="s">
        <v>30</v>
      </c>
      <c r="B64" s="54" t="s">
        <v>74</v>
      </c>
      <c r="C64" s="55">
        <v>0.05</v>
      </c>
      <c r="D64" s="56">
        <f>C64*D38</f>
        <v>108.73422727272728</v>
      </c>
    </row>
    <row r="65" spans="1:5" x14ac:dyDescent="0.3">
      <c r="A65" s="76" t="s">
        <v>33</v>
      </c>
      <c r="B65" s="34" t="s">
        <v>51</v>
      </c>
      <c r="C65" s="35"/>
      <c r="D65" s="33">
        <f>C65</f>
        <v>0</v>
      </c>
    </row>
    <row r="66" spans="1:5" x14ac:dyDescent="0.3">
      <c r="A66" s="222" t="s">
        <v>75</v>
      </c>
      <c r="B66" s="224"/>
      <c r="C66" s="223"/>
      <c r="D66" s="22">
        <f>SUM(D59:D65)</f>
        <v>407.25049772727266</v>
      </c>
    </row>
    <row r="67" spans="1:5" x14ac:dyDescent="0.3">
      <c r="A67" s="209"/>
      <c r="B67" s="210"/>
      <c r="C67" s="210"/>
      <c r="D67" s="211"/>
    </row>
    <row r="68" spans="1:5" x14ac:dyDescent="0.3">
      <c r="A68" s="225" t="s">
        <v>76</v>
      </c>
      <c r="B68" s="226"/>
      <c r="C68" s="16" t="s">
        <v>56</v>
      </c>
      <c r="D68" s="16" t="s">
        <v>46</v>
      </c>
    </row>
    <row r="69" spans="1:5" x14ac:dyDescent="0.3">
      <c r="A69" s="76" t="s">
        <v>77</v>
      </c>
      <c r="B69" s="25" t="s">
        <v>55</v>
      </c>
      <c r="C69" s="36">
        <f>C45</f>
        <v>0.1111111111111111</v>
      </c>
      <c r="D69" s="10">
        <f>D45</f>
        <v>241.63161616161617</v>
      </c>
    </row>
    <row r="70" spans="1:5" x14ac:dyDescent="0.3">
      <c r="A70" s="76" t="s">
        <v>59</v>
      </c>
      <c r="B70" s="25" t="s">
        <v>60</v>
      </c>
      <c r="C70" s="36">
        <f>C56</f>
        <v>0.36800000000000005</v>
      </c>
      <c r="D70" s="10">
        <f>D56</f>
        <v>889.20434747474746</v>
      </c>
    </row>
    <row r="71" spans="1:5" x14ac:dyDescent="0.3">
      <c r="A71" s="76" t="s">
        <v>78</v>
      </c>
      <c r="B71" s="25" t="s">
        <v>70</v>
      </c>
      <c r="C71" s="36">
        <f>D66/D38</f>
        <v>0.18726876897088102</v>
      </c>
      <c r="D71" s="10">
        <f>D66</f>
        <v>407.25049772727266</v>
      </c>
    </row>
    <row r="72" spans="1:5" x14ac:dyDescent="0.3">
      <c r="A72" s="222" t="s">
        <v>15</v>
      </c>
      <c r="B72" s="224"/>
      <c r="C72" s="223"/>
      <c r="D72" s="22">
        <f>SUM(D69:D71)</f>
        <v>1538.0864613636363</v>
      </c>
    </row>
    <row r="73" spans="1:5" x14ac:dyDescent="0.3">
      <c r="A73" s="209"/>
      <c r="B73" s="210"/>
      <c r="C73" s="210"/>
      <c r="D73" s="211"/>
    </row>
    <row r="74" spans="1:5" x14ac:dyDescent="0.3">
      <c r="A74" s="219" t="s">
        <v>185</v>
      </c>
      <c r="B74" s="220"/>
      <c r="C74" s="220"/>
      <c r="D74" s="221"/>
    </row>
    <row r="75" spans="1:5" x14ac:dyDescent="0.3">
      <c r="A75" s="227" t="s">
        <v>141</v>
      </c>
      <c r="B75" s="228"/>
      <c r="C75" s="93">
        <v>0.71599999999999997</v>
      </c>
      <c r="D75" s="94">
        <f>1/60</f>
        <v>1.6666666666666666E-2</v>
      </c>
    </row>
    <row r="76" spans="1:5" x14ac:dyDescent="0.3">
      <c r="A76" s="133">
        <v>3</v>
      </c>
      <c r="B76" s="23" t="s">
        <v>79</v>
      </c>
      <c r="C76" s="16" t="s">
        <v>56</v>
      </c>
      <c r="D76" s="16" t="s">
        <v>46</v>
      </c>
    </row>
    <row r="77" spans="1:5" x14ac:dyDescent="0.3">
      <c r="A77" s="132" t="s">
        <v>47</v>
      </c>
      <c r="B77" s="25" t="s">
        <v>186</v>
      </c>
      <c r="C77" s="137" t="s">
        <v>161</v>
      </c>
      <c r="D77" s="38">
        <f>D38+D69+D71+D55</f>
        <v>3016.8719522727274</v>
      </c>
      <c r="E77" s="37"/>
    </row>
    <row r="78" spans="1:5" x14ac:dyDescent="0.3">
      <c r="A78" s="132" t="s">
        <v>131</v>
      </c>
      <c r="B78" s="25" t="s">
        <v>136</v>
      </c>
      <c r="C78" s="138">
        <v>61</v>
      </c>
      <c r="D78" s="139">
        <f>((D38+D45)*(C78-1))+(D38+D43)</f>
        <v>147334.87795454546</v>
      </c>
    </row>
    <row r="79" spans="1:5" x14ac:dyDescent="0.3">
      <c r="A79" s="132" t="s">
        <v>132</v>
      </c>
      <c r="B79" s="25" t="s">
        <v>80</v>
      </c>
      <c r="C79" s="36">
        <f>C55</f>
        <v>0.08</v>
      </c>
      <c r="D79" s="38">
        <f>C79*D78</f>
        <v>11786.790236363637</v>
      </c>
    </row>
    <row r="80" spans="1:5" x14ac:dyDescent="0.3">
      <c r="A80" s="132" t="s">
        <v>133</v>
      </c>
      <c r="B80" s="25" t="s">
        <v>187</v>
      </c>
      <c r="C80" s="36">
        <v>0.4</v>
      </c>
      <c r="D80" s="38">
        <f>C80*D79</f>
        <v>4714.7160945454552</v>
      </c>
    </row>
    <row r="81" spans="1:7" x14ac:dyDescent="0.3">
      <c r="A81" s="132" t="s">
        <v>188</v>
      </c>
      <c r="B81" s="140" t="s">
        <v>189</v>
      </c>
      <c r="C81" s="71">
        <v>0.1</v>
      </c>
      <c r="D81" s="95">
        <f>((D80+D77)*C81)</f>
        <v>773.15880468181831</v>
      </c>
    </row>
    <row r="82" spans="1:7" x14ac:dyDescent="0.3">
      <c r="A82" s="132" t="s">
        <v>118</v>
      </c>
      <c r="B82" s="25" t="s">
        <v>136</v>
      </c>
      <c r="C82" s="141">
        <v>60</v>
      </c>
      <c r="D82" s="10">
        <f>(D38+D45)*C82</f>
        <v>144978.9696969697</v>
      </c>
    </row>
    <row r="83" spans="1:7" ht="15.75" customHeight="1" x14ac:dyDescent="0.3">
      <c r="A83" s="132" t="s">
        <v>134</v>
      </c>
      <c r="B83" s="25" t="s">
        <v>81</v>
      </c>
      <c r="C83" s="36">
        <f>C55</f>
        <v>0.08</v>
      </c>
      <c r="D83" s="10">
        <f>C83*D82</f>
        <v>11598.317575757575</v>
      </c>
    </row>
    <row r="84" spans="1:7" x14ac:dyDescent="0.3">
      <c r="A84" s="132" t="s">
        <v>135</v>
      </c>
      <c r="B84" s="25" t="s">
        <v>190</v>
      </c>
      <c r="C84" s="36">
        <v>0.4</v>
      </c>
      <c r="D84" s="38">
        <f>(C84*D83)</f>
        <v>4639.3270303030304</v>
      </c>
      <c r="E84" s="37"/>
    </row>
    <row r="85" spans="1:7" x14ac:dyDescent="0.3">
      <c r="A85" s="132" t="s">
        <v>140</v>
      </c>
      <c r="B85" s="25" t="str">
        <f>"+ 7 dias ( parágrafo único do art. 488 da CLT)"</f>
        <v>+ 7 dias ( parágrafo único do art. 488 da CLT)</v>
      </c>
      <c r="C85" s="36">
        <f>((1/30)*7)</f>
        <v>0.23333333333333334</v>
      </c>
      <c r="D85" s="38">
        <f>C85*(D38+D45+D56)</f>
        <v>771.28811878787872</v>
      </c>
    </row>
    <row r="86" spans="1:7" x14ac:dyDescent="0.3">
      <c r="A86" s="132" t="s">
        <v>4</v>
      </c>
      <c r="B86" s="140" t="s">
        <v>191</v>
      </c>
      <c r="C86" s="71">
        <v>0.9</v>
      </c>
      <c r="D86" s="95">
        <f>(C86*(D84+D85))</f>
        <v>4869.5536341818179</v>
      </c>
    </row>
    <row r="87" spans="1:7" x14ac:dyDescent="0.3">
      <c r="A87" s="222" t="s">
        <v>82</v>
      </c>
      <c r="B87" s="223"/>
      <c r="C87" s="21">
        <f>C86+C81</f>
        <v>1</v>
      </c>
      <c r="D87" s="22">
        <f>((D86+D81)*D75)*C75</f>
        <v>67.33636843710606</v>
      </c>
      <c r="G87" s="57"/>
    </row>
    <row r="88" spans="1:7" x14ac:dyDescent="0.3">
      <c r="A88" s="209"/>
      <c r="B88" s="210"/>
      <c r="C88" s="210"/>
      <c r="D88" s="211"/>
    </row>
    <row r="89" spans="1:7" x14ac:dyDescent="0.3">
      <c r="A89" s="219" t="s">
        <v>83</v>
      </c>
      <c r="B89" s="220"/>
      <c r="C89" s="220"/>
      <c r="D89" s="221"/>
    </row>
    <row r="90" spans="1:7" x14ac:dyDescent="0.3">
      <c r="A90" s="229"/>
      <c r="B90" s="230"/>
      <c r="C90" s="230"/>
      <c r="D90" s="231"/>
    </row>
    <row r="91" spans="1:7" x14ac:dyDescent="0.3">
      <c r="A91" s="16" t="s">
        <v>84</v>
      </c>
      <c r="B91" s="23" t="s">
        <v>85</v>
      </c>
      <c r="C91" s="21" t="s">
        <v>56</v>
      </c>
      <c r="D91" s="16" t="s">
        <v>46</v>
      </c>
    </row>
    <row r="92" spans="1:7" x14ac:dyDescent="0.3">
      <c r="A92" s="76" t="s">
        <v>47</v>
      </c>
      <c r="B92" s="25" t="s">
        <v>86</v>
      </c>
      <c r="C92" s="92">
        <f>((0.0416666666*24)+(0.08333333*24)+(0.08333333*12))*D75</f>
        <v>6.6666664639999998E-2</v>
      </c>
      <c r="D92" s="38">
        <f>C92*(D38+D72+D87)</f>
        <v>252.00715068933491</v>
      </c>
      <c r="G92" s="62"/>
    </row>
    <row r="93" spans="1:7" x14ac:dyDescent="0.3">
      <c r="A93" s="76" t="s">
        <v>23</v>
      </c>
      <c r="B93" s="25" t="s">
        <v>138</v>
      </c>
      <c r="C93" s="39">
        <v>1.66E-2</v>
      </c>
      <c r="D93" s="38">
        <f>C93*(D38+D72+D87)</f>
        <v>62.749782429237783</v>
      </c>
      <c r="G93" s="62"/>
    </row>
    <row r="94" spans="1:7" x14ac:dyDescent="0.3">
      <c r="A94" s="76" t="s">
        <v>25</v>
      </c>
      <c r="B94" s="25" t="s">
        <v>139</v>
      </c>
      <c r="C94" s="39">
        <v>2.7000000000000001E-3</v>
      </c>
      <c r="D94" s="38">
        <f>C94*(D38+D72+D87)</f>
        <v>10.206289913189279</v>
      </c>
      <c r="G94" s="62"/>
    </row>
    <row r="95" spans="1:7" x14ac:dyDescent="0.3">
      <c r="A95" s="76" t="s">
        <v>27</v>
      </c>
      <c r="B95" s="25" t="s">
        <v>137</v>
      </c>
      <c r="C95" s="39">
        <v>2.8E-3</v>
      </c>
      <c r="D95" s="38">
        <f>C95*(D38+D72+D87)</f>
        <v>10.584300650714805</v>
      </c>
    </row>
    <row r="96" spans="1:7" x14ac:dyDescent="0.3">
      <c r="A96" s="76" t="s">
        <v>30</v>
      </c>
      <c r="B96" s="25" t="s">
        <v>87</v>
      </c>
      <c r="C96" s="39">
        <v>2.0000000000000001E-4</v>
      </c>
      <c r="D96" s="38">
        <f>C96*(D38+D72+D87)</f>
        <v>0.75602147505105766</v>
      </c>
    </row>
    <row r="97" spans="1:4" x14ac:dyDescent="0.3">
      <c r="A97" s="76" t="s">
        <v>33</v>
      </c>
      <c r="B97" s="25" t="s">
        <v>88</v>
      </c>
      <c r="C97" s="39">
        <v>2.9999999999999997E-4</v>
      </c>
      <c r="D97" s="38">
        <f>C97*(D43+D56+D60+D64+D87)</f>
        <v>0.44767984659173787</v>
      </c>
    </row>
    <row r="98" spans="1:4" x14ac:dyDescent="0.3">
      <c r="A98" s="76" t="s">
        <v>35</v>
      </c>
      <c r="B98" s="13" t="s">
        <v>51</v>
      </c>
      <c r="C98" s="40">
        <v>0</v>
      </c>
      <c r="D98" s="38">
        <f>C98*(D38+D72+D87)</f>
        <v>0</v>
      </c>
    </row>
    <row r="99" spans="1:4" x14ac:dyDescent="0.3">
      <c r="A99" s="222" t="s">
        <v>15</v>
      </c>
      <c r="B99" s="223"/>
      <c r="C99" s="21">
        <f>SUM(C92:C98)</f>
        <v>8.9266664639999993E-2</v>
      </c>
      <c r="D99" s="22">
        <f>SUM(D92:D98)</f>
        <v>336.75122500411953</v>
      </c>
    </row>
    <row r="100" spans="1:4" x14ac:dyDescent="0.3">
      <c r="A100" s="209"/>
      <c r="B100" s="210"/>
      <c r="C100" s="210"/>
      <c r="D100" s="211"/>
    </row>
    <row r="101" spans="1:4" x14ac:dyDescent="0.3">
      <c r="A101" s="219" t="s">
        <v>89</v>
      </c>
      <c r="B101" s="220"/>
      <c r="C101" s="220"/>
      <c r="D101" s="221"/>
    </row>
    <row r="102" spans="1:4" x14ac:dyDescent="0.3">
      <c r="A102" s="229"/>
      <c r="B102" s="230"/>
      <c r="C102" s="230"/>
      <c r="D102" s="231"/>
    </row>
    <row r="103" spans="1:4" x14ac:dyDescent="0.3">
      <c r="A103" s="72">
        <v>5</v>
      </c>
      <c r="B103" s="222" t="s">
        <v>90</v>
      </c>
      <c r="C103" s="223"/>
      <c r="D103" s="16" t="s">
        <v>46</v>
      </c>
    </row>
    <row r="104" spans="1:4" x14ac:dyDescent="0.3">
      <c r="A104" s="76" t="s">
        <v>47</v>
      </c>
      <c r="B104" s="233" t="s">
        <v>157</v>
      </c>
      <c r="C104" s="234"/>
      <c r="D104" s="107">
        <f>INSUMOS!G15</f>
        <v>29.437222222222221</v>
      </c>
    </row>
    <row r="105" spans="1:4" x14ac:dyDescent="0.3">
      <c r="A105" s="76" t="s">
        <v>23</v>
      </c>
      <c r="B105" s="233" t="s">
        <v>122</v>
      </c>
      <c r="C105" s="234"/>
      <c r="D105" s="118">
        <f>INSUMOS!G24</f>
        <v>1.5207142857142857</v>
      </c>
    </row>
    <row r="106" spans="1:4" x14ac:dyDescent="0.3">
      <c r="A106" s="132" t="s">
        <v>25</v>
      </c>
      <c r="B106" s="238" t="s">
        <v>184</v>
      </c>
      <c r="C106" s="239"/>
      <c r="D106" s="118">
        <f>INSUMOS!G36</f>
        <v>31.037499999999998</v>
      </c>
    </row>
    <row r="107" spans="1:4" x14ac:dyDescent="0.3">
      <c r="A107" s="76" t="s">
        <v>27</v>
      </c>
      <c r="B107" s="235" t="s">
        <v>51</v>
      </c>
      <c r="C107" s="236"/>
      <c r="D107" s="41">
        <v>0</v>
      </c>
    </row>
    <row r="108" spans="1:4" x14ac:dyDescent="0.3">
      <c r="A108" s="222" t="s">
        <v>91</v>
      </c>
      <c r="B108" s="224"/>
      <c r="C108" s="223"/>
      <c r="D108" s="22">
        <f>SUM(D104:D107)</f>
        <v>61.995436507936503</v>
      </c>
    </row>
    <row r="109" spans="1:4" x14ac:dyDescent="0.3">
      <c r="A109" s="209"/>
      <c r="B109" s="210"/>
      <c r="C109" s="210"/>
      <c r="D109" s="211"/>
    </row>
    <row r="110" spans="1:4" x14ac:dyDescent="0.3">
      <c r="A110" s="237" t="s">
        <v>92</v>
      </c>
      <c r="B110" s="237"/>
      <c r="C110" s="237"/>
      <c r="D110" s="42">
        <f>D38+D72+D87+D99+D108</f>
        <v>4178.854036767344</v>
      </c>
    </row>
    <row r="111" spans="1:4" x14ac:dyDescent="0.3">
      <c r="A111" s="218"/>
      <c r="B111" s="218"/>
      <c r="C111" s="218"/>
      <c r="D111" s="218"/>
    </row>
    <row r="112" spans="1:4" x14ac:dyDescent="0.3">
      <c r="A112" s="232" t="s">
        <v>93</v>
      </c>
      <c r="B112" s="232"/>
      <c r="C112" s="232"/>
      <c r="D112" s="232"/>
    </row>
    <row r="113" spans="1:4" x14ac:dyDescent="0.3">
      <c r="A113" s="240"/>
      <c r="B113" s="241"/>
      <c r="C113" s="241"/>
      <c r="D113" s="242"/>
    </row>
    <row r="114" spans="1:4" x14ac:dyDescent="0.3">
      <c r="A114" s="72">
        <v>6</v>
      </c>
      <c r="B114" s="23" t="s">
        <v>94</v>
      </c>
      <c r="C114" s="16" t="s">
        <v>56</v>
      </c>
      <c r="D114" s="16" t="s">
        <v>46</v>
      </c>
    </row>
    <row r="115" spans="1:4" x14ac:dyDescent="0.3">
      <c r="A115" s="76" t="s">
        <v>47</v>
      </c>
      <c r="B115" s="25" t="s">
        <v>95</v>
      </c>
      <c r="C115" s="43">
        <v>8.8900000000000007E-2</v>
      </c>
      <c r="D115" s="44">
        <f>C115*D110</f>
        <v>371.50012386861692</v>
      </c>
    </row>
    <row r="116" spans="1:4" x14ac:dyDescent="0.3">
      <c r="A116" s="243" t="s">
        <v>4</v>
      </c>
      <c r="B116" s="244"/>
      <c r="C116" s="245"/>
      <c r="D116" s="44">
        <f>D110+D115</f>
        <v>4550.3541606359613</v>
      </c>
    </row>
    <row r="117" spans="1:4" x14ac:dyDescent="0.3">
      <c r="A117" s="76" t="s">
        <v>23</v>
      </c>
      <c r="B117" s="25" t="s">
        <v>96</v>
      </c>
      <c r="C117" s="43">
        <v>6.7799999999999999E-2</v>
      </c>
      <c r="D117" s="44">
        <f>C117*D116</f>
        <v>308.51401209111816</v>
      </c>
    </row>
    <row r="118" spans="1:4" x14ac:dyDescent="0.3">
      <c r="A118" s="243" t="s">
        <v>4</v>
      </c>
      <c r="B118" s="244"/>
      <c r="C118" s="244"/>
      <c r="D118" s="44">
        <f>D117+D116</f>
        <v>4858.8681727270796</v>
      </c>
    </row>
    <row r="119" spans="1:4" x14ac:dyDescent="0.3">
      <c r="A119" s="76" t="s">
        <v>25</v>
      </c>
      <c r="B119" s="238" t="s">
        <v>97</v>
      </c>
      <c r="C119" s="246"/>
      <c r="D119" s="239"/>
    </row>
    <row r="120" spans="1:4" x14ac:dyDescent="0.3">
      <c r="A120" s="75"/>
      <c r="B120" s="74" t="s">
        <v>98</v>
      </c>
      <c r="C120" s="45">
        <v>1.6500000000000001E-2</v>
      </c>
      <c r="D120" s="44">
        <f>(D118/(1-C123)*C120)</f>
        <v>93.49425638483595</v>
      </c>
    </row>
    <row r="121" spans="1:4" x14ac:dyDescent="0.3">
      <c r="A121" s="75"/>
      <c r="B121" s="74" t="s">
        <v>99</v>
      </c>
      <c r="C121" s="45">
        <v>7.5999999999999998E-2</v>
      </c>
      <c r="D121" s="44">
        <f>(D118/(1-C123)*C121)</f>
        <v>430.64021122712313</v>
      </c>
    </row>
    <row r="122" spans="1:4" x14ac:dyDescent="0.3">
      <c r="A122" s="75"/>
      <c r="B122" s="74" t="s">
        <v>100</v>
      </c>
      <c r="C122" s="46">
        <v>0.05</v>
      </c>
      <c r="D122" s="44">
        <f>(D118/(1-C123)*C122)</f>
        <v>283.31592843889683</v>
      </c>
    </row>
    <row r="123" spans="1:4" x14ac:dyDescent="0.3">
      <c r="A123" s="209" t="s">
        <v>101</v>
      </c>
      <c r="B123" s="211"/>
      <c r="C123" s="47">
        <f>SUM(C120:C122)</f>
        <v>0.14250000000000002</v>
      </c>
      <c r="D123" s="44">
        <f>SUM(D120:D122)</f>
        <v>807.45039605085594</v>
      </c>
    </row>
    <row r="124" spans="1:4" x14ac:dyDescent="0.3">
      <c r="A124" s="222" t="s">
        <v>102</v>
      </c>
      <c r="B124" s="223"/>
      <c r="C124" s="48">
        <f>SUM(C115+C117+C123)</f>
        <v>0.29920000000000002</v>
      </c>
      <c r="D124" s="15">
        <f>SUM(D123+D115+D117)</f>
        <v>1487.464532010591</v>
      </c>
    </row>
    <row r="125" spans="1:4" x14ac:dyDescent="0.3">
      <c r="A125" s="209"/>
      <c r="B125" s="210"/>
      <c r="C125" s="210"/>
      <c r="D125" s="211"/>
    </row>
    <row r="126" spans="1:4" x14ac:dyDescent="0.3">
      <c r="A126" s="215" t="s">
        <v>103</v>
      </c>
      <c r="B126" s="217"/>
      <c r="C126" s="216"/>
      <c r="D126" s="49" t="s">
        <v>46</v>
      </c>
    </row>
    <row r="127" spans="1:4" x14ac:dyDescent="0.3">
      <c r="A127" s="196" t="s">
        <v>104</v>
      </c>
      <c r="B127" s="247"/>
      <c r="C127" s="247"/>
      <c r="D127" s="197"/>
    </row>
    <row r="128" spans="1:4" x14ac:dyDescent="0.3">
      <c r="A128" s="73" t="s">
        <v>47</v>
      </c>
      <c r="B128" s="196" t="s">
        <v>105</v>
      </c>
      <c r="C128" s="197"/>
      <c r="D128" s="10">
        <f>D38</f>
        <v>2174.6845454545455</v>
      </c>
    </row>
    <row r="129" spans="1:4" x14ac:dyDescent="0.3">
      <c r="A129" s="73" t="s">
        <v>23</v>
      </c>
      <c r="B129" s="196" t="s">
        <v>106</v>
      </c>
      <c r="C129" s="197"/>
      <c r="D129" s="10">
        <f>D72</f>
        <v>1538.0864613636363</v>
      </c>
    </row>
    <row r="130" spans="1:4" x14ac:dyDescent="0.3">
      <c r="A130" s="73" t="s">
        <v>25</v>
      </c>
      <c r="B130" s="196" t="s">
        <v>107</v>
      </c>
      <c r="C130" s="197"/>
      <c r="D130" s="10">
        <f>D87</f>
        <v>67.33636843710606</v>
      </c>
    </row>
    <row r="131" spans="1:4" x14ac:dyDescent="0.3">
      <c r="A131" s="73" t="s">
        <v>27</v>
      </c>
      <c r="B131" s="196" t="s">
        <v>108</v>
      </c>
      <c r="C131" s="197"/>
      <c r="D131" s="10">
        <f>D99</f>
        <v>336.75122500411953</v>
      </c>
    </row>
    <row r="132" spans="1:4" x14ac:dyDescent="0.3">
      <c r="A132" s="73" t="s">
        <v>30</v>
      </c>
      <c r="B132" s="196" t="s">
        <v>109</v>
      </c>
      <c r="C132" s="197"/>
      <c r="D132" s="10">
        <f>D108</f>
        <v>61.995436507936503</v>
      </c>
    </row>
    <row r="133" spans="1:4" x14ac:dyDescent="0.3">
      <c r="A133" s="251" t="s">
        <v>110</v>
      </c>
      <c r="B133" s="252"/>
      <c r="C133" s="253"/>
      <c r="D133" s="10">
        <f>SUM(D128:D132)</f>
        <v>4178.854036767344</v>
      </c>
    </row>
    <row r="134" spans="1:4" x14ac:dyDescent="0.3">
      <c r="A134" s="73" t="s">
        <v>111</v>
      </c>
      <c r="B134" s="196" t="s">
        <v>112</v>
      </c>
      <c r="C134" s="197"/>
      <c r="D134" s="10">
        <f>D124</f>
        <v>1487.464532010591</v>
      </c>
    </row>
    <row r="135" spans="1:4" x14ac:dyDescent="0.3">
      <c r="A135" s="215" t="s">
        <v>113</v>
      </c>
      <c r="B135" s="217"/>
      <c r="C135" s="216"/>
      <c r="D135" s="22">
        <f xml:space="preserve"> D133+D134</f>
        <v>5666.3185687779351</v>
      </c>
    </row>
    <row r="136" spans="1:4" x14ac:dyDescent="0.3">
      <c r="A136" s="1"/>
      <c r="B136" s="1"/>
      <c r="C136" s="1"/>
      <c r="D136" s="1"/>
    </row>
    <row r="137" spans="1:4" x14ac:dyDescent="0.3">
      <c r="A137" s="254" t="s">
        <v>3</v>
      </c>
      <c r="B137" s="255"/>
      <c r="C137" s="255"/>
      <c r="D137" s="58" t="s">
        <v>2</v>
      </c>
    </row>
    <row r="138" spans="1:4" x14ac:dyDescent="0.3">
      <c r="A138" s="248" t="s">
        <v>18</v>
      </c>
      <c r="B138" s="249"/>
      <c r="C138" s="250"/>
      <c r="D138" s="59">
        <f>D135</f>
        <v>5666.3185687779351</v>
      </c>
    </row>
    <row r="139" spans="1:4" x14ac:dyDescent="0.3">
      <c r="A139" s="248" t="s">
        <v>160</v>
      </c>
      <c r="B139" s="249"/>
      <c r="C139" s="250"/>
      <c r="D139" s="60">
        <v>2</v>
      </c>
    </row>
    <row r="140" spans="1:4" x14ac:dyDescent="0.3">
      <c r="A140" s="248" t="s">
        <v>0</v>
      </c>
      <c r="B140" s="249"/>
      <c r="C140" s="250"/>
      <c r="D140" s="61">
        <f>D139*D138</f>
        <v>11332.63713755587</v>
      </c>
    </row>
    <row r="141" spans="1:4" x14ac:dyDescent="0.3">
      <c r="A141" s="248" t="s">
        <v>130</v>
      </c>
      <c r="B141" s="249"/>
      <c r="C141" s="250"/>
      <c r="D141" s="50">
        <f>D140*24</f>
        <v>271983.29130134091</v>
      </c>
    </row>
    <row r="142" spans="1:4" x14ac:dyDescent="0.3">
      <c r="A142" s="1"/>
      <c r="B142" s="1"/>
      <c r="C142" s="1"/>
      <c r="D142" s="1"/>
    </row>
    <row r="143" spans="1:4" x14ac:dyDescent="0.3">
      <c r="A143" s="1"/>
      <c r="B143" s="1"/>
      <c r="C143" s="1"/>
      <c r="D143" s="1"/>
    </row>
    <row r="144" spans="1:4" x14ac:dyDescent="0.3">
      <c r="A144" s="1"/>
      <c r="B144" s="1"/>
      <c r="C144" s="1"/>
      <c r="D144" s="1"/>
    </row>
    <row r="145" spans="1:4" x14ac:dyDescent="0.3">
      <c r="A145" s="1"/>
      <c r="B145" s="1"/>
      <c r="C145" s="1"/>
      <c r="D145" s="1"/>
    </row>
    <row r="146" spans="1:4" hidden="1" x14ac:dyDescent="0.3">
      <c r="A146" s="1"/>
      <c r="B146" s="1"/>
      <c r="C146" s="1"/>
      <c r="D146" s="1"/>
    </row>
    <row r="147" spans="1:4" hidden="1" x14ac:dyDescent="0.3">
      <c r="A147" s="1"/>
      <c r="B147" s="1"/>
      <c r="C147" s="1"/>
      <c r="D147" s="1"/>
    </row>
    <row r="148" spans="1:4" hidden="1" x14ac:dyDescent="0.3">
      <c r="A148" s="1"/>
      <c r="B148" s="1"/>
      <c r="C148" s="1"/>
      <c r="D148" s="1"/>
    </row>
    <row r="149" spans="1:4" hidden="1" x14ac:dyDescent="0.3">
      <c r="A149" s="1"/>
      <c r="B149" s="1"/>
      <c r="C149" s="1"/>
      <c r="D149" s="1"/>
    </row>
    <row r="150" spans="1:4" hidden="1" x14ac:dyDescent="0.3">
      <c r="A150" s="1"/>
      <c r="B150" s="1"/>
      <c r="C150" s="1"/>
      <c r="D150" s="1"/>
    </row>
    <row r="151" spans="1:4" hidden="1" x14ac:dyDescent="0.3">
      <c r="A151" s="1"/>
      <c r="B151" s="1"/>
      <c r="C151" s="1"/>
      <c r="D151" s="1"/>
    </row>
    <row r="152" spans="1:4" hidden="1" x14ac:dyDescent="0.3">
      <c r="A152" s="1"/>
      <c r="B152" s="1"/>
      <c r="C152" s="1"/>
      <c r="D152" s="1"/>
    </row>
    <row r="153" spans="1:4" hidden="1" x14ac:dyDescent="0.3"/>
  </sheetData>
  <mergeCells count="83">
    <mergeCell ref="A4:D4"/>
    <mergeCell ref="A1:D1"/>
    <mergeCell ref="A2:B2"/>
    <mergeCell ref="C2:D2"/>
    <mergeCell ref="A3:B3"/>
    <mergeCell ref="C3:D3"/>
    <mergeCell ref="C16:D16"/>
    <mergeCell ref="A5:D5"/>
    <mergeCell ref="C6:D6"/>
    <mergeCell ref="C7:D7"/>
    <mergeCell ref="C8:D8"/>
    <mergeCell ref="C9:D9"/>
    <mergeCell ref="C10:D10"/>
    <mergeCell ref="C11:D11"/>
    <mergeCell ref="C12:D12"/>
    <mergeCell ref="A13:D13"/>
    <mergeCell ref="A14:D14"/>
    <mergeCell ref="A15:D15"/>
    <mergeCell ref="A39:D39"/>
    <mergeCell ref="C17:D17"/>
    <mergeCell ref="C18:D18"/>
    <mergeCell ref="A19:D19"/>
    <mergeCell ref="B20:C20"/>
    <mergeCell ref="B21:C21"/>
    <mergeCell ref="B22:C22"/>
    <mergeCell ref="A23:D23"/>
    <mergeCell ref="A24:D24"/>
    <mergeCell ref="A25:D25"/>
    <mergeCell ref="B26:C26"/>
    <mergeCell ref="A38:C38"/>
    <mergeCell ref="A74:D74"/>
    <mergeCell ref="A40:D40"/>
    <mergeCell ref="A41:D41"/>
    <mergeCell ref="A45:B45"/>
    <mergeCell ref="A46:D46"/>
    <mergeCell ref="A56:B56"/>
    <mergeCell ref="A57:D57"/>
    <mergeCell ref="A66:C66"/>
    <mergeCell ref="A67:D67"/>
    <mergeCell ref="A68:B68"/>
    <mergeCell ref="A72:C72"/>
    <mergeCell ref="A73:D73"/>
    <mergeCell ref="B103:C103"/>
    <mergeCell ref="A75:B75"/>
    <mergeCell ref="A87:B87"/>
    <mergeCell ref="A88:D88"/>
    <mergeCell ref="A89:D89"/>
    <mergeCell ref="A90:D90"/>
    <mergeCell ref="A99:B99"/>
    <mergeCell ref="A100:D100"/>
    <mergeCell ref="A101:D101"/>
    <mergeCell ref="A102:D102"/>
    <mergeCell ref="B119:D119"/>
    <mergeCell ref="B104:C104"/>
    <mergeCell ref="B105:C105"/>
    <mergeCell ref="B107:C107"/>
    <mergeCell ref="A108:C108"/>
    <mergeCell ref="A109:D109"/>
    <mergeCell ref="A110:C110"/>
    <mergeCell ref="A111:D111"/>
    <mergeCell ref="A112:D112"/>
    <mergeCell ref="A113:D113"/>
    <mergeCell ref="A116:C116"/>
    <mergeCell ref="A118:C118"/>
    <mergeCell ref="B106:C106"/>
    <mergeCell ref="B134:C134"/>
    <mergeCell ref="A123:B123"/>
    <mergeCell ref="A124:B124"/>
    <mergeCell ref="A125:D125"/>
    <mergeCell ref="A126:C126"/>
    <mergeCell ref="A127:D127"/>
    <mergeCell ref="B128:C128"/>
    <mergeCell ref="B129:C129"/>
    <mergeCell ref="B130:C130"/>
    <mergeCell ref="B131:C131"/>
    <mergeCell ref="B132:C132"/>
    <mergeCell ref="A133:C133"/>
    <mergeCell ref="A135:C135"/>
    <mergeCell ref="A137:C137"/>
    <mergeCell ref="A138:C138"/>
    <mergeCell ref="A140:C140"/>
    <mergeCell ref="A141:C141"/>
    <mergeCell ref="A139:C139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Proposta</vt:lpstr>
      <vt:lpstr>INSUMOS</vt:lpstr>
      <vt:lpstr>Aux. Esc. - DIURNO</vt:lpstr>
      <vt:lpstr>Aux. Esc. NOTURNO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LUAN LUCIO DA SILVA</cp:lastModifiedBy>
  <dcterms:created xsi:type="dcterms:W3CDTF">2020-03-24T19:39:58Z</dcterms:created>
  <dcterms:modified xsi:type="dcterms:W3CDTF">2020-06-29T22:06:20Z</dcterms:modified>
</cp:coreProperties>
</file>